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4955" windowHeight="8055" tabRatio="762" activeTab="1"/>
  </bookViews>
  <sheets>
    <sheet name="APN" sheetId="1" r:id="rId1"/>
    <sheet name="APOS RIJEKA" sheetId="3" r:id="rId2"/>
    <sheet name="VARAŽDIN" sheetId="6" r:id="rId3"/>
    <sheet name="DUBROVNIK" sheetId="8" r:id="rId4"/>
    <sheet name="KOPRIVNICA" sheetId="9" r:id="rId5"/>
    <sheet name="POS" sheetId="2" r:id="rId6"/>
    <sheet name="POS 100%" sheetId="10" r:id="rId7"/>
    <sheet name="AGENCIJE" sheetId="11" r:id="rId8"/>
    <sheet name="Sheet2" sheetId="4" r:id="rId9"/>
  </sheets>
  <definedNames>
    <definedName name="_xlnm.Print_Area" localSheetId="7">AGENCIJE!$A$1:$M$43</definedName>
    <definedName name="_xlnm.Print_Area" localSheetId="0">APN!$A$1:$AP$52</definedName>
    <definedName name="_xlnm.Print_Area" localSheetId="1">'APOS RIJEKA'!$A$1:$BG$41</definedName>
    <definedName name="_xlnm.Print_Area" localSheetId="3">DUBROVNIK!$A$1:$BH$36</definedName>
    <definedName name="_xlnm.Print_Area" localSheetId="4">KOPRIVNICA!$A$1:$BG$39</definedName>
    <definedName name="_xlnm.Print_Area" localSheetId="5">POS!$A$1:$L$32</definedName>
    <definedName name="_xlnm.Print_Area" localSheetId="6">'POS 100%'!$A$1:$J$30</definedName>
    <definedName name="_xlnm.Print_Area" localSheetId="2">VARAŽDIN!$A$1:$BD$44</definedName>
  </definedNames>
  <calcPr calcId="125725"/>
</workbook>
</file>

<file path=xl/calcChain.xml><?xml version="1.0" encoding="utf-8"?>
<calcChain xmlns="http://schemas.openxmlformats.org/spreadsheetml/2006/main">
  <c r="AZ24" i="3"/>
  <c r="AM24"/>
  <c r="AN24" s="1"/>
  <c r="AO24" s="1"/>
  <c r="AM25"/>
  <c r="Z22"/>
  <c r="AA22"/>
  <c r="AB22"/>
  <c r="Z23"/>
  <c r="AA23" s="1"/>
  <c r="BC23"/>
  <c r="L21"/>
  <c r="AJ33" i="1"/>
  <c r="J39" i="11"/>
  <c r="J9"/>
  <c r="AD37" i="1"/>
  <c r="H37" i="11"/>
  <c r="D37"/>
  <c r="C37"/>
  <c r="D10"/>
  <c r="D8"/>
  <c r="D11" s="1"/>
  <c r="AP33" i="1"/>
  <c r="AD33"/>
  <c r="I10" i="11"/>
  <c r="I11" s="1"/>
  <c r="E21" i="2" s="1"/>
  <c r="H10" i="11"/>
  <c r="J29"/>
  <c r="J30" s="1"/>
  <c r="I23" i="2" s="1"/>
  <c r="I28" i="11"/>
  <c r="H28"/>
  <c r="H27"/>
  <c r="J19"/>
  <c r="H8"/>
  <c r="H11"/>
  <c r="E39"/>
  <c r="H39" s="1"/>
  <c r="H45" s="1"/>
  <c r="E38"/>
  <c r="J38"/>
  <c r="J40" s="1"/>
  <c r="I24" i="2" s="1"/>
  <c r="D39" i="11"/>
  <c r="D38"/>
  <c r="C39"/>
  <c r="C38"/>
  <c r="C40" s="1"/>
  <c r="G37"/>
  <c r="G36"/>
  <c r="I30"/>
  <c r="E23" i="2"/>
  <c r="H30" i="11"/>
  <c r="E30"/>
  <c r="D30"/>
  <c r="C30"/>
  <c r="G29"/>
  <c r="G28"/>
  <c r="G30" s="1"/>
  <c r="G27"/>
  <c r="E21"/>
  <c r="D21"/>
  <c r="C21"/>
  <c r="G20"/>
  <c r="H20" s="1"/>
  <c r="G19"/>
  <c r="G18"/>
  <c r="I18"/>
  <c r="G17"/>
  <c r="H17" s="1"/>
  <c r="G21"/>
  <c r="J11"/>
  <c r="I21" i="2"/>
  <c r="E11" i="11"/>
  <c r="C11"/>
  <c r="G10"/>
  <c r="G9"/>
  <c r="G8"/>
  <c r="G11" s="1"/>
  <c r="Z28" i="1"/>
  <c r="Y28"/>
  <c r="I25" i="10"/>
  <c r="W40" i="1"/>
  <c r="W41"/>
  <c r="W42"/>
  <c r="X41"/>
  <c r="L41"/>
  <c r="N41" s="1"/>
  <c r="K41"/>
  <c r="J41"/>
  <c r="L40"/>
  <c r="K40"/>
  <c r="N40" s="1"/>
  <c r="J40"/>
  <c r="W39"/>
  <c r="L39"/>
  <c r="K39"/>
  <c r="J39"/>
  <c r="W38"/>
  <c r="L38"/>
  <c r="K38"/>
  <c r="N38" s="1"/>
  <c r="J38"/>
  <c r="I38" s="1"/>
  <c r="AL26"/>
  <c r="AL45" s="1"/>
  <c r="AK26"/>
  <c r="AF26"/>
  <c r="AE26"/>
  <c r="H26"/>
  <c r="F26"/>
  <c r="E26"/>
  <c r="D26"/>
  <c r="AD24"/>
  <c r="AC24" s="1"/>
  <c r="Z24"/>
  <c r="Y24"/>
  <c r="X24"/>
  <c r="T24"/>
  <c r="O24"/>
  <c r="W24" s="1"/>
  <c r="J24"/>
  <c r="I24" s="1"/>
  <c r="Z23"/>
  <c r="Y23"/>
  <c r="T23"/>
  <c r="W23"/>
  <c r="V23"/>
  <c r="J23"/>
  <c r="I23"/>
  <c r="AN23" s="1"/>
  <c r="Z22"/>
  <c r="Y22"/>
  <c r="L22"/>
  <c r="N22" s="1"/>
  <c r="K22"/>
  <c r="J22"/>
  <c r="O22" s="1"/>
  <c r="AD21"/>
  <c r="AQ21"/>
  <c r="Z21"/>
  <c r="Y21"/>
  <c r="T21" s="1"/>
  <c r="X21"/>
  <c r="O21"/>
  <c r="W21"/>
  <c r="J21"/>
  <c r="I21"/>
  <c r="Z20"/>
  <c r="Y20"/>
  <c r="L20"/>
  <c r="K20"/>
  <c r="J20"/>
  <c r="I20"/>
  <c r="AN20" s="1"/>
  <c r="Z19"/>
  <c r="Z26"/>
  <c r="Y19"/>
  <c r="Y26"/>
  <c r="L19"/>
  <c r="K19"/>
  <c r="J19"/>
  <c r="I19"/>
  <c r="AN19" s="1"/>
  <c r="G19"/>
  <c r="AM19" s="1"/>
  <c r="G22"/>
  <c r="AG22" s="1"/>
  <c r="I40"/>
  <c r="AN40" s="1"/>
  <c r="N39"/>
  <c r="AP39"/>
  <c r="AJ38"/>
  <c r="AP40"/>
  <c r="I41"/>
  <c r="N19"/>
  <c r="V19"/>
  <c r="G20"/>
  <c r="AM20"/>
  <c r="G21"/>
  <c r="K21"/>
  <c r="G23"/>
  <c r="L23"/>
  <c r="S23"/>
  <c r="AG23"/>
  <c r="AH21"/>
  <c r="L21"/>
  <c r="S21"/>
  <c r="AA21"/>
  <c r="AC21"/>
  <c r="AG21"/>
  <c r="AM21"/>
  <c r="I22"/>
  <c r="N20"/>
  <c r="N26" s="1"/>
  <c r="AD19"/>
  <c r="AQ19" s="1"/>
  <c r="AG20"/>
  <c r="AG19"/>
  <c r="I21" i="9"/>
  <c r="AZ23"/>
  <c r="Z23"/>
  <c r="X23"/>
  <c r="BD22"/>
  <c r="BC22"/>
  <c r="BA22"/>
  <c r="BB22" s="1"/>
  <c r="AN22"/>
  <c r="AO22" s="1"/>
  <c r="AA22"/>
  <c r="AB22" s="1"/>
  <c r="AQ21"/>
  <c r="AQ23" s="1"/>
  <c r="AI23"/>
  <c r="AE23"/>
  <c r="T23"/>
  <c r="K21"/>
  <c r="K23" s="1"/>
  <c r="H21"/>
  <c r="H23" s="1"/>
  <c r="G21"/>
  <c r="G23" s="1"/>
  <c r="E21"/>
  <c r="E23" s="1"/>
  <c r="D21"/>
  <c r="D23" s="1"/>
  <c r="C21"/>
  <c r="C23" s="1"/>
  <c r="BD20"/>
  <c r="BC20"/>
  <c r="AZ20"/>
  <c r="AY20"/>
  <c r="AW20"/>
  <c r="AW21" s="1"/>
  <c r="AW23" s="1"/>
  <c r="AU20"/>
  <c r="AS20"/>
  <c r="BA20" s="1"/>
  <c r="BB20" s="1"/>
  <c r="AM20"/>
  <c r="AN20"/>
  <c r="AO20" s="1"/>
  <c r="I20" i="11" s="1"/>
  <c r="AJ20" i="9"/>
  <c r="AH20"/>
  <c r="AF20"/>
  <c r="Z20"/>
  <c r="AA20" s="1"/>
  <c r="Y20"/>
  <c r="W20"/>
  <c r="U20"/>
  <c r="S20"/>
  <c r="M20"/>
  <c r="N20" s="1"/>
  <c r="O20" s="1"/>
  <c r="L20"/>
  <c r="J20"/>
  <c r="BD19"/>
  <c r="AZ19"/>
  <c r="BE19" s="1"/>
  <c r="AY19"/>
  <c r="AW19"/>
  <c r="AU19"/>
  <c r="AS19"/>
  <c r="BA19" s="1"/>
  <c r="BB19" s="1"/>
  <c r="AP19"/>
  <c r="AP21"/>
  <c r="H23" i="10" s="1"/>
  <c r="AM19" i="9"/>
  <c r="AN19"/>
  <c r="AO19" s="1"/>
  <c r="AJ19"/>
  <c r="AH19"/>
  <c r="AF19"/>
  <c r="Z19"/>
  <c r="Y19"/>
  <c r="W19"/>
  <c r="U19"/>
  <c r="S19"/>
  <c r="M19"/>
  <c r="M21" s="1"/>
  <c r="M23" s="1"/>
  <c r="L19"/>
  <c r="J19"/>
  <c r="J21" s="1"/>
  <c r="AZ18"/>
  <c r="AY18"/>
  <c r="AW18"/>
  <c r="AU18"/>
  <c r="AS18"/>
  <c r="AM18"/>
  <c r="AN18" s="1"/>
  <c r="AJ18"/>
  <c r="AH18"/>
  <c r="AF18"/>
  <c r="AD18"/>
  <c r="AD21" s="1"/>
  <c r="AC18"/>
  <c r="BC18"/>
  <c r="Z18"/>
  <c r="BE18"/>
  <c r="Y18"/>
  <c r="W18"/>
  <c r="W21" s="1"/>
  <c r="U18"/>
  <c r="S18"/>
  <c r="M18"/>
  <c r="N18"/>
  <c r="O18" s="1"/>
  <c r="L18"/>
  <c r="J18"/>
  <c r="AZ17"/>
  <c r="BA17" s="1"/>
  <c r="AY17"/>
  <c r="AY21" s="1"/>
  <c r="AY23" s="1"/>
  <c r="AW17"/>
  <c r="AU17"/>
  <c r="AU21" s="1"/>
  <c r="AU23" s="1"/>
  <c r="AS17"/>
  <c r="AS21"/>
  <c r="AS23" s="1"/>
  <c r="AM17"/>
  <c r="AN17" s="1"/>
  <c r="AJ17"/>
  <c r="AJ21" s="1"/>
  <c r="AJ23" s="1"/>
  <c r="AH17"/>
  <c r="AH21"/>
  <c r="AF17"/>
  <c r="AF21"/>
  <c r="AF23" s="1"/>
  <c r="Z17"/>
  <c r="BE17" s="1"/>
  <c r="Y17"/>
  <c r="Y21" s="1"/>
  <c r="Y23" s="1"/>
  <c r="W17"/>
  <c r="U17"/>
  <c r="U21"/>
  <c r="U23" s="1"/>
  <c r="S17"/>
  <c r="S21" s="1"/>
  <c r="Q17"/>
  <c r="Q21" s="1"/>
  <c r="P17"/>
  <c r="BC17"/>
  <c r="BC21" s="1"/>
  <c r="BC23" s="1"/>
  <c r="M17"/>
  <c r="L17"/>
  <c r="L21" s="1"/>
  <c r="L23" s="1"/>
  <c r="J17"/>
  <c r="N17"/>
  <c r="L20" i="8"/>
  <c r="M20"/>
  <c r="M23" s="1"/>
  <c r="M25" s="1"/>
  <c r="S20"/>
  <c r="S23" s="1"/>
  <c r="S25" s="1"/>
  <c r="U20"/>
  <c r="Y20"/>
  <c r="Z20"/>
  <c r="AA20"/>
  <c r="AB20" s="1"/>
  <c r="AC20"/>
  <c r="AD20"/>
  <c r="AD23" s="1"/>
  <c r="AD25" s="1"/>
  <c r="AF20"/>
  <c r="AH20"/>
  <c r="AJ20"/>
  <c r="AM20"/>
  <c r="AN20" s="1"/>
  <c r="AS20"/>
  <c r="AS23" s="1"/>
  <c r="AS25" s="1"/>
  <c r="AU20"/>
  <c r="AU23" s="1"/>
  <c r="AU25" s="1"/>
  <c r="AW20"/>
  <c r="AY20"/>
  <c r="L21"/>
  <c r="L23" s="1"/>
  <c r="L25" s="1"/>
  <c r="M21"/>
  <c r="N21"/>
  <c r="U21"/>
  <c r="Y21"/>
  <c r="Z21"/>
  <c r="AA21"/>
  <c r="AB21" s="1"/>
  <c r="AF21"/>
  <c r="AH21"/>
  <c r="AJ21"/>
  <c r="AM21"/>
  <c r="AN21" s="1"/>
  <c r="AO21" s="1"/>
  <c r="AS21"/>
  <c r="AU21"/>
  <c r="BA21" s="1"/>
  <c r="BB21" s="1"/>
  <c r="AW21"/>
  <c r="AY21"/>
  <c r="L22"/>
  <c r="M22"/>
  <c r="N22" s="1"/>
  <c r="S22"/>
  <c r="U22"/>
  <c r="Y22"/>
  <c r="Z22"/>
  <c r="AA22"/>
  <c r="AB22" s="1"/>
  <c r="AJ22"/>
  <c r="AM22"/>
  <c r="AO22"/>
  <c r="AU22"/>
  <c r="AW22"/>
  <c r="AW23" s="1"/>
  <c r="AW25" s="1"/>
  <c r="C23"/>
  <c r="D23"/>
  <c r="E23"/>
  <c r="K23"/>
  <c r="K25" s="1"/>
  <c r="O23"/>
  <c r="P23"/>
  <c r="B22" i="10"/>
  <c r="Q23" i="8"/>
  <c r="C22" i="10"/>
  <c r="T23" i="8"/>
  <c r="U23"/>
  <c r="W23"/>
  <c r="X23"/>
  <c r="AC23"/>
  <c r="E22" i="10"/>
  <c r="AF23" i="8"/>
  <c r="AJ23"/>
  <c r="AJ25" s="1"/>
  <c r="AP23"/>
  <c r="AP25" s="1"/>
  <c r="AQ23"/>
  <c r="AY23"/>
  <c r="AY25" s="1"/>
  <c r="BC23"/>
  <c r="BC25" s="1"/>
  <c r="BD23"/>
  <c r="AA24"/>
  <c r="AB24"/>
  <c r="AN24"/>
  <c r="AO24"/>
  <c r="BA24"/>
  <c r="BB24"/>
  <c r="BC24"/>
  <c r="BD24"/>
  <c r="BD25" s="1"/>
  <c r="C25"/>
  <c r="D25"/>
  <c r="E25"/>
  <c r="G25"/>
  <c r="H25"/>
  <c r="O25"/>
  <c r="P25"/>
  <c r="Q25"/>
  <c r="T25"/>
  <c r="U25"/>
  <c r="W25"/>
  <c r="X25"/>
  <c r="AC25"/>
  <c r="AF25"/>
  <c r="AZ25"/>
  <c r="F42" i="6"/>
  <c r="AQ27"/>
  <c r="AP27"/>
  <c r="BC27" s="1"/>
  <c r="AD27"/>
  <c r="AC27"/>
  <c r="Q27"/>
  <c r="BD27"/>
  <c r="P27"/>
  <c r="O27"/>
  <c r="J27"/>
  <c r="H27"/>
  <c r="G27"/>
  <c r="E27"/>
  <c r="D27"/>
  <c r="C27"/>
  <c r="BD26"/>
  <c r="BC26"/>
  <c r="AZ26"/>
  <c r="AY26"/>
  <c r="AY27"/>
  <c r="AW26"/>
  <c r="AW27"/>
  <c r="AU26"/>
  <c r="AU27"/>
  <c r="AS26"/>
  <c r="AS27"/>
  <c r="AM26"/>
  <c r="AN26"/>
  <c r="AL26"/>
  <c r="AL27"/>
  <c r="AJ26"/>
  <c r="AJ27"/>
  <c r="AH26"/>
  <c r="AH27"/>
  <c r="AF26"/>
  <c r="AF27"/>
  <c r="Z26"/>
  <c r="BE26"/>
  <c r="Y26"/>
  <c r="Y27"/>
  <c r="W26"/>
  <c r="W27"/>
  <c r="U26"/>
  <c r="U27"/>
  <c r="S26"/>
  <c r="S27"/>
  <c r="M26"/>
  <c r="N26"/>
  <c r="N27" s="1"/>
  <c r="L26"/>
  <c r="L27" s="1"/>
  <c r="AQ25"/>
  <c r="AQ28" s="1"/>
  <c r="AP25"/>
  <c r="AP28" s="1"/>
  <c r="AD25"/>
  <c r="AD28" s="1"/>
  <c r="F25" i="10"/>
  <c r="AC25" i="6"/>
  <c r="E25" i="10" s="1"/>
  <c r="Q25" i="6"/>
  <c r="C25" i="10" s="1"/>
  <c r="P25" i="6"/>
  <c r="B25" i="10" s="1"/>
  <c r="P28" i="6"/>
  <c r="J25"/>
  <c r="J28"/>
  <c r="H25"/>
  <c r="H28"/>
  <c r="G25"/>
  <c r="G28"/>
  <c r="E25"/>
  <c r="E28"/>
  <c r="D25"/>
  <c r="D28"/>
  <c r="C25"/>
  <c r="C28"/>
  <c r="BD24"/>
  <c r="BC24"/>
  <c r="AZ24"/>
  <c r="AY24"/>
  <c r="AW24"/>
  <c r="AU24"/>
  <c r="AS24"/>
  <c r="BA24"/>
  <c r="BB24" s="1"/>
  <c r="AM24"/>
  <c r="AN24" s="1"/>
  <c r="AO24" s="1"/>
  <c r="AL24"/>
  <c r="AJ24"/>
  <c r="AH24"/>
  <c r="AF24"/>
  <c r="AF25" s="1"/>
  <c r="Z24"/>
  <c r="BE24"/>
  <c r="Y24"/>
  <c r="W24"/>
  <c r="W25" s="1"/>
  <c r="W28" s="1"/>
  <c r="U24"/>
  <c r="S24"/>
  <c r="M24"/>
  <c r="N24"/>
  <c r="L24"/>
  <c r="BD23"/>
  <c r="BC23"/>
  <c r="AZ23"/>
  <c r="AY23"/>
  <c r="AW23"/>
  <c r="AU23"/>
  <c r="AS23"/>
  <c r="BA23" s="1"/>
  <c r="BB23" s="1"/>
  <c r="AM23"/>
  <c r="AN23"/>
  <c r="AO23" s="1"/>
  <c r="AL23"/>
  <c r="AJ23"/>
  <c r="AH23"/>
  <c r="AF23"/>
  <c r="Z23"/>
  <c r="BE23" s="1"/>
  <c r="Y23"/>
  <c r="W23"/>
  <c r="U23"/>
  <c r="S23"/>
  <c r="M23"/>
  <c r="N23" s="1"/>
  <c r="L23"/>
  <c r="BD22"/>
  <c r="BC22"/>
  <c r="AZ22"/>
  <c r="AY22"/>
  <c r="AW22"/>
  <c r="AU22"/>
  <c r="BA22" s="1"/>
  <c r="BB22" s="1"/>
  <c r="AS22"/>
  <c r="AM22"/>
  <c r="BE22" s="1"/>
  <c r="AL22"/>
  <c r="AJ22"/>
  <c r="AH22"/>
  <c r="AF22"/>
  <c r="Z22"/>
  <c r="Y22"/>
  <c r="W22"/>
  <c r="U22"/>
  <c r="S22"/>
  <c r="M22"/>
  <c r="N22"/>
  <c r="L22"/>
  <c r="BD21"/>
  <c r="BD25" s="1"/>
  <c r="BD28" s="1"/>
  <c r="BC21"/>
  <c r="AZ21"/>
  <c r="AY21"/>
  <c r="AW21"/>
  <c r="AW25" s="1"/>
  <c r="AW28" s="1"/>
  <c r="AU21"/>
  <c r="AS21"/>
  <c r="BA21" s="1"/>
  <c r="AM21"/>
  <c r="AN21"/>
  <c r="AO21" s="1"/>
  <c r="I36" i="11" s="1"/>
  <c r="I40" s="1"/>
  <c r="E24" i="2" s="1"/>
  <c r="AL21" i="6"/>
  <c r="AJ21"/>
  <c r="AJ25" s="1"/>
  <c r="AJ28" s="1"/>
  <c r="AH21"/>
  <c r="AF21"/>
  <c r="Z21"/>
  <c r="BE21"/>
  <c r="Y21"/>
  <c r="W21"/>
  <c r="U21"/>
  <c r="S21"/>
  <c r="S25" s="1"/>
  <c r="N21"/>
  <c r="O21"/>
  <c r="L21"/>
  <c r="I21"/>
  <c r="BD20"/>
  <c r="BC20"/>
  <c r="AZ20"/>
  <c r="AY20"/>
  <c r="AW20"/>
  <c r="AU20"/>
  <c r="BA20" s="1"/>
  <c r="BB20" s="1"/>
  <c r="AS20"/>
  <c r="AM20"/>
  <c r="AN20"/>
  <c r="AO20" s="1"/>
  <c r="AL20"/>
  <c r="AJ20"/>
  <c r="AH20"/>
  <c r="AF20"/>
  <c r="Z20"/>
  <c r="AA20" s="1"/>
  <c r="Y20"/>
  <c r="W20"/>
  <c r="U20"/>
  <c r="S20"/>
  <c r="I20"/>
  <c r="BD19"/>
  <c r="BC19"/>
  <c r="BC25" s="1"/>
  <c r="BC28" s="1"/>
  <c r="AZ19"/>
  <c r="AY19"/>
  <c r="AY25" s="1"/>
  <c r="AY28" s="1"/>
  <c r="AW19"/>
  <c r="AU19"/>
  <c r="BA19" s="1"/>
  <c r="AS19"/>
  <c r="AM19"/>
  <c r="AN19"/>
  <c r="AO19" s="1"/>
  <c r="AL19"/>
  <c r="AL25" s="1"/>
  <c r="AL28" s="1"/>
  <c r="AJ19"/>
  <c r="AH19"/>
  <c r="AH25" s="1"/>
  <c r="AH28" s="1"/>
  <c r="AF19"/>
  <c r="Z19"/>
  <c r="BE19" s="1"/>
  <c r="Y19"/>
  <c r="Y25" s="1"/>
  <c r="Y28" s="1"/>
  <c r="W19"/>
  <c r="U19"/>
  <c r="U25" s="1"/>
  <c r="U28" s="1"/>
  <c r="S19"/>
  <c r="L19"/>
  <c r="I19"/>
  <c r="M19"/>
  <c r="N19" s="1"/>
  <c r="H30" i="4"/>
  <c r="F31"/>
  <c r="F27"/>
  <c r="H29" s="1"/>
  <c r="H31" s="1"/>
  <c r="Z28" i="3"/>
  <c r="BD27"/>
  <c r="BC27"/>
  <c r="BB27"/>
  <c r="AO27"/>
  <c r="AA27"/>
  <c r="AB27" s="1"/>
  <c r="AZ28"/>
  <c r="AQ26"/>
  <c r="AQ28"/>
  <c r="G23" i="2" s="1"/>
  <c r="AP26" i="3"/>
  <c r="AP28"/>
  <c r="H24" i="10" s="1"/>
  <c r="AI28" i="3"/>
  <c r="AE26"/>
  <c r="AE28"/>
  <c r="AD26"/>
  <c r="AD28"/>
  <c r="F24" i="10" s="1"/>
  <c r="C23" i="2"/>
  <c r="AC26" i="3"/>
  <c r="AC28"/>
  <c r="X26"/>
  <c r="X28"/>
  <c r="T26"/>
  <c r="T28"/>
  <c r="Q26"/>
  <c r="Q28"/>
  <c r="C24" i="10" s="1"/>
  <c r="P26" i="3"/>
  <c r="P28" s="1"/>
  <c r="K26"/>
  <c r="K28" s="1"/>
  <c r="H26"/>
  <c r="H28" s="1"/>
  <c r="G26"/>
  <c r="G28" s="1"/>
  <c r="E26"/>
  <c r="E28" s="1"/>
  <c r="D26"/>
  <c r="D28" s="1"/>
  <c r="C26"/>
  <c r="C28" s="1"/>
  <c r="BD25"/>
  <c r="BD26" s="1"/>
  <c r="BD28" s="1"/>
  <c r="BC25"/>
  <c r="AZ25"/>
  <c r="AY25"/>
  <c r="AW25"/>
  <c r="AU25"/>
  <c r="AS25"/>
  <c r="AN25"/>
  <c r="AO25"/>
  <c r="AL25"/>
  <c r="AJ25"/>
  <c r="AH25"/>
  <c r="AF25"/>
  <c r="Z25"/>
  <c r="Y25"/>
  <c r="W25"/>
  <c r="U25"/>
  <c r="S25"/>
  <c r="M25"/>
  <c r="L25"/>
  <c r="J25"/>
  <c r="N25" s="1"/>
  <c r="O25" s="1"/>
  <c r="BD24"/>
  <c r="BC24"/>
  <c r="AY24"/>
  <c r="AW24"/>
  <c r="AW26" s="1"/>
  <c r="AU24"/>
  <c r="AS24"/>
  <c r="BA24" s="1"/>
  <c r="BB24" s="1"/>
  <c r="AL24"/>
  <c r="AJ24"/>
  <c r="AH24"/>
  <c r="AF24"/>
  <c r="AF26" s="1"/>
  <c r="AF28" s="1"/>
  <c r="Z24"/>
  <c r="Y24"/>
  <c r="W24"/>
  <c r="U24"/>
  <c r="S24"/>
  <c r="M24"/>
  <c r="L24"/>
  <c r="J24"/>
  <c r="N24" s="1"/>
  <c r="O24" s="1"/>
  <c r="BD23"/>
  <c r="AZ23"/>
  <c r="BE23" s="1"/>
  <c r="AY23"/>
  <c r="AW23"/>
  <c r="AU23"/>
  <c r="AS23"/>
  <c r="BA23" s="1"/>
  <c r="BB23" s="1"/>
  <c r="AM23"/>
  <c r="AN23"/>
  <c r="AO23" s="1"/>
  <c r="AL23"/>
  <c r="AJ23"/>
  <c r="AH23"/>
  <c r="AF23"/>
  <c r="Y23"/>
  <c r="Y21"/>
  <c r="Y26" s="1"/>
  <c r="Y28" s="1"/>
  <c r="Y22"/>
  <c r="W23"/>
  <c r="W26" s="1"/>
  <c r="U23"/>
  <c r="S23"/>
  <c r="L23"/>
  <c r="J23"/>
  <c r="N23" s="1"/>
  <c r="O23" s="1"/>
  <c r="BD22"/>
  <c r="BC22"/>
  <c r="AZ22"/>
  <c r="AY22"/>
  <c r="AW22"/>
  <c r="AU22"/>
  <c r="AS22"/>
  <c r="AM22"/>
  <c r="AN22" s="1"/>
  <c r="AO22"/>
  <c r="AL22"/>
  <c r="AJ22"/>
  <c r="AH22"/>
  <c r="AH21"/>
  <c r="AH26" s="1"/>
  <c r="AF22"/>
  <c r="W22"/>
  <c r="U22"/>
  <c r="S22"/>
  <c r="M22"/>
  <c r="L22"/>
  <c r="J22"/>
  <c r="BD21"/>
  <c r="BC21"/>
  <c r="BC26" s="1"/>
  <c r="BC28" s="1"/>
  <c r="AZ21"/>
  <c r="AY21"/>
  <c r="AY26" s="1"/>
  <c r="AY28"/>
  <c r="AW21"/>
  <c r="AU21"/>
  <c r="AU26" s="1"/>
  <c r="AU28" s="1"/>
  <c r="AS21"/>
  <c r="AM21"/>
  <c r="AL21"/>
  <c r="AJ21"/>
  <c r="AJ26" s="1"/>
  <c r="AJ28" s="1"/>
  <c r="AF21"/>
  <c r="Z21"/>
  <c r="W21"/>
  <c r="U21"/>
  <c r="S21"/>
  <c r="S26" s="1"/>
  <c r="M21"/>
  <c r="M26" s="1"/>
  <c r="M28" s="1"/>
  <c r="J21"/>
  <c r="N21" s="1"/>
  <c r="AP26" i="1"/>
  <c r="AJ26"/>
  <c r="P26"/>
  <c r="X42"/>
  <c r="W43"/>
  <c r="X43"/>
  <c r="W34"/>
  <c r="AI34" s="1"/>
  <c r="AJ34" s="1"/>
  <c r="X34"/>
  <c r="W35"/>
  <c r="X35"/>
  <c r="X37"/>
  <c r="X33"/>
  <c r="X28"/>
  <c r="X29"/>
  <c r="X30"/>
  <c r="W31"/>
  <c r="X31"/>
  <c r="W25"/>
  <c r="X25"/>
  <c r="X36"/>
  <c r="AK44"/>
  <c r="AL44"/>
  <c r="H32"/>
  <c r="F32"/>
  <c r="AF44"/>
  <c r="AE44"/>
  <c r="Z44"/>
  <c r="Y44"/>
  <c r="R44"/>
  <c r="Q44"/>
  <c r="E44"/>
  <c r="D44"/>
  <c r="AO43"/>
  <c r="AL43"/>
  <c r="AK43"/>
  <c r="H43"/>
  <c r="F43"/>
  <c r="K43" s="1"/>
  <c r="E36"/>
  <c r="D36"/>
  <c r="E32"/>
  <c r="D32"/>
  <c r="H42"/>
  <c r="H44"/>
  <c r="F42"/>
  <c r="K42"/>
  <c r="AF35"/>
  <c r="AE35"/>
  <c r="Z36"/>
  <c r="Y36"/>
  <c r="R36"/>
  <c r="Q36"/>
  <c r="H35"/>
  <c r="F35"/>
  <c r="J35" s="1"/>
  <c r="H34"/>
  <c r="H36"/>
  <c r="F34"/>
  <c r="F36"/>
  <c r="AL32"/>
  <c r="AK32"/>
  <c r="AE32"/>
  <c r="Z31"/>
  <c r="Y31"/>
  <c r="H25"/>
  <c r="F25"/>
  <c r="H31"/>
  <c r="F31"/>
  <c r="Z30"/>
  <c r="Y30"/>
  <c r="L30"/>
  <c r="K30"/>
  <c r="J30"/>
  <c r="U30" s="1"/>
  <c r="W30"/>
  <c r="AL36"/>
  <c r="AK36"/>
  <c r="P44"/>
  <c r="AP32"/>
  <c r="P32"/>
  <c r="L37"/>
  <c r="K37"/>
  <c r="J37"/>
  <c r="J18"/>
  <c r="I18" s="1"/>
  <c r="L28"/>
  <c r="K28"/>
  <c r="J28"/>
  <c r="O28" s="1"/>
  <c r="V36"/>
  <c r="P36"/>
  <c r="P45"/>
  <c r="V18"/>
  <c r="AD18"/>
  <c r="U18"/>
  <c r="T18"/>
  <c r="R18"/>
  <c r="R26"/>
  <c r="R45" s="1"/>
  <c r="Q18"/>
  <c r="Q26"/>
  <c r="O18"/>
  <c r="W18"/>
  <c r="J33"/>
  <c r="AC33"/>
  <c r="Z29"/>
  <c r="Y29"/>
  <c r="L29"/>
  <c r="K29"/>
  <c r="N29" s="1"/>
  <c r="AD29" s="1"/>
  <c r="AC29" s="1"/>
  <c r="J29"/>
  <c r="Z27"/>
  <c r="Y27"/>
  <c r="Y32" s="1"/>
  <c r="Y45" s="1"/>
  <c r="V27"/>
  <c r="L27"/>
  <c r="K27"/>
  <c r="J27"/>
  <c r="O27"/>
  <c r="J32"/>
  <c r="AI33" s="1"/>
  <c r="N17"/>
  <c r="X18"/>
  <c r="AS26" i="3"/>
  <c r="AS28" s="1"/>
  <c r="BA25"/>
  <c r="BB25" s="1"/>
  <c r="BE24"/>
  <c r="BE25"/>
  <c r="BA18" i="9"/>
  <c r="BB18" s="1"/>
  <c r="J18" i="11" s="1"/>
  <c r="AM23" i="9"/>
  <c r="AA17"/>
  <c r="AA21" s="1"/>
  <c r="AA23" s="1"/>
  <c r="AA18"/>
  <c r="AA19"/>
  <c r="AB19" s="1"/>
  <c r="BC19"/>
  <c r="BE20"/>
  <c r="P21"/>
  <c r="B23" i="10" s="1"/>
  <c r="P23" i="9"/>
  <c r="AC21"/>
  <c r="AC23" s="1"/>
  <c r="B22" i="2"/>
  <c r="BF22" i="9"/>
  <c r="BG22" s="1"/>
  <c r="BF24" i="8"/>
  <c r="BG24" s="1"/>
  <c r="BA20"/>
  <c r="AA23"/>
  <c r="AA25" s="1"/>
  <c r="BE22" i="3"/>
  <c r="BA22"/>
  <c r="BB22" s="1"/>
  <c r="AN27" i="6"/>
  <c r="AO26"/>
  <c r="AO27"/>
  <c r="BB19"/>
  <c r="AA22"/>
  <c r="AA24"/>
  <c r="BF24" s="1"/>
  <c r="AA26"/>
  <c r="BA26"/>
  <c r="K20"/>
  <c r="L20" s="1"/>
  <c r="L25"/>
  <c r="L28" s="1"/>
  <c r="AA21"/>
  <c r="AB21"/>
  <c r="H36" i="11" s="1"/>
  <c r="AA23" i="6"/>
  <c r="AM28" i="3"/>
  <c r="AN21"/>
  <c r="AA25"/>
  <c r="BA21"/>
  <c r="AA24"/>
  <c r="AB24" s="1"/>
  <c r="AF32" i="1"/>
  <c r="F44"/>
  <c r="F45"/>
  <c r="J34"/>
  <c r="I34"/>
  <c r="AE36"/>
  <c r="AE45"/>
  <c r="AF36"/>
  <c r="AF45"/>
  <c r="J42"/>
  <c r="AP42" s="1"/>
  <c r="AD42"/>
  <c r="L42"/>
  <c r="Q32"/>
  <c r="J25"/>
  <c r="G25"/>
  <c r="R32"/>
  <c r="G34"/>
  <c r="Z32"/>
  <c r="Z45" s="1"/>
  <c r="C21" i="10" s="1"/>
  <c r="G30" i="1"/>
  <c r="AG30" s="1"/>
  <c r="N30"/>
  <c r="AD30" s="1"/>
  <c r="AQ25"/>
  <c r="I30"/>
  <c r="AM30"/>
  <c r="N33"/>
  <c r="G28"/>
  <c r="I28"/>
  <c r="U28"/>
  <c r="O29"/>
  <c r="G29"/>
  <c r="AM29" s="1"/>
  <c r="G33"/>
  <c r="S33"/>
  <c r="S36" s="1"/>
  <c r="G27"/>
  <c r="U29"/>
  <c r="W29"/>
  <c r="AQ29"/>
  <c r="I29"/>
  <c r="AN29"/>
  <c r="I33"/>
  <c r="L33"/>
  <c r="U33"/>
  <c r="I27"/>
  <c r="AN27" s="1"/>
  <c r="O33"/>
  <c r="W33" s="1"/>
  <c r="AB18" i="9"/>
  <c r="BB26" i="6"/>
  <c r="BA27"/>
  <c r="AB24"/>
  <c r="AB23"/>
  <c r="BG23" s="1"/>
  <c r="BF26"/>
  <c r="AB26"/>
  <c r="AA27"/>
  <c r="AB22"/>
  <c r="BB21" i="3"/>
  <c r="BB26" s="1"/>
  <c r="BB28" s="1"/>
  <c r="J24" i="10" s="1"/>
  <c r="BG22" i="3"/>
  <c r="AO21"/>
  <c r="J36" i="1"/>
  <c r="I36" s="1"/>
  <c r="I42"/>
  <c r="T42" s="1"/>
  <c r="AJ42"/>
  <c r="AH42" s="1"/>
  <c r="G35"/>
  <c r="S34"/>
  <c r="AA33"/>
  <c r="AA36" s="1"/>
  <c r="AG29"/>
  <c r="AH27"/>
  <c r="AH29"/>
  <c r="S28"/>
  <c r="AM28"/>
  <c r="T29"/>
  <c r="T33"/>
  <c r="AB33"/>
  <c r="AB27" i="6"/>
  <c r="G36" i="1"/>
  <c r="AO51"/>
  <c r="T41"/>
  <c r="AN33"/>
  <c r="AQ33"/>
  <c r="AM33"/>
  <c r="I32"/>
  <c r="AH33" s="1"/>
  <c r="N37"/>
  <c r="E45"/>
  <c r="AN22"/>
  <c r="AH22"/>
  <c r="AB18"/>
  <c r="AH28"/>
  <c r="AG28"/>
  <c r="AA19"/>
  <c r="U19"/>
  <c r="W19"/>
  <c r="S19"/>
  <c r="X19"/>
  <c r="AJ32"/>
  <c r="AH38"/>
  <c r="AN42"/>
  <c r="G42"/>
  <c r="H45"/>
  <c r="N34"/>
  <c r="AD34"/>
  <c r="K34"/>
  <c r="AA34"/>
  <c r="AD36"/>
  <c r="B20" i="2"/>
  <c r="E21" i="10"/>
  <c r="D40" i="11"/>
  <c r="G38"/>
  <c r="E40"/>
  <c r="AB42" i="1"/>
  <c r="AA42"/>
  <c r="B21" i="10"/>
  <c r="B26" s="1"/>
  <c r="AA25" i="1"/>
  <c r="T34"/>
  <c r="T36" s="1"/>
  <c r="AH34"/>
  <c r="L34"/>
  <c r="AB34"/>
  <c r="O19" i="6"/>
  <c r="AP23" i="9"/>
  <c r="AM23" i="1"/>
  <c r="K23"/>
  <c r="AH20"/>
  <c r="AN21"/>
  <c r="AB21"/>
  <c r="AD23"/>
  <c r="X23"/>
  <c r="V40"/>
  <c r="AJ40"/>
  <c r="AG42"/>
  <c r="S42"/>
  <c r="K33"/>
  <c r="I25"/>
  <c r="Q45"/>
  <c r="AK45"/>
  <c r="F20" i="2" s="1"/>
  <c r="L26" i="3"/>
  <c r="L28" s="1"/>
  <c r="U26"/>
  <c r="U28" s="1"/>
  <c r="AL26"/>
  <c r="AW28"/>
  <c r="S28" i="6"/>
  <c r="AF28"/>
  <c r="AH23" i="8"/>
  <c r="Y23"/>
  <c r="F22" i="10"/>
  <c r="E23"/>
  <c r="AO34" i="1"/>
  <c r="AP34" s="1"/>
  <c r="AD40"/>
  <c r="AB40" s="1"/>
  <c r="E24" i="10"/>
  <c r="B23" i="2"/>
  <c r="B25" s="1"/>
  <c r="I22" i="10"/>
  <c r="AQ25" i="8"/>
  <c r="AN24" i="1"/>
  <c r="G39"/>
  <c r="AM39" s="1"/>
  <c r="I39"/>
  <c r="AJ39"/>
  <c r="AQ39" s="1"/>
  <c r="V39"/>
  <c r="AD41"/>
  <c r="G41"/>
  <c r="S41"/>
  <c r="AP41"/>
  <c r="AJ41"/>
  <c r="G40"/>
  <c r="AM40"/>
  <c r="B24" i="10"/>
  <c r="AO33" i="1"/>
  <c r="AD39"/>
  <c r="AH41"/>
  <c r="X39"/>
  <c r="S39"/>
  <c r="AA40"/>
  <c r="L25"/>
  <c r="S40"/>
  <c r="T40"/>
  <c r="X40"/>
  <c r="AA39"/>
  <c r="AM41"/>
  <c r="AN41"/>
  <c r="AJ44"/>
  <c r="AN34"/>
  <c r="H21" i="10"/>
  <c r="D25" i="2"/>
  <c r="H47" i="11" l="1"/>
  <c r="G40"/>
  <c r="E26" i="10"/>
  <c r="G39" i="11"/>
  <c r="H40"/>
  <c r="AM31" i="8"/>
  <c r="Y25"/>
  <c r="T27" i="1"/>
  <c r="X27"/>
  <c r="X32" s="1"/>
  <c r="S27"/>
  <c r="V32"/>
  <c r="I37"/>
  <c r="G37"/>
  <c r="AI37"/>
  <c r="Q23" i="9"/>
  <c r="C23" i="10"/>
  <c r="C26" s="1"/>
  <c r="AO17" i="9"/>
  <c r="AN21"/>
  <c r="AN23" s="1"/>
  <c r="V22" i="1"/>
  <c r="AD22"/>
  <c r="G20" i="2"/>
  <c r="I21" i="10"/>
  <c r="I26" s="1"/>
  <c r="AB39" i="1"/>
  <c r="AN39"/>
  <c r="T39"/>
  <c r="AH39"/>
  <c r="AP36"/>
  <c r="AM34"/>
  <c r="AM36" s="1"/>
  <c r="AQ34"/>
  <c r="S25"/>
  <c r="K25"/>
  <c r="L43"/>
  <c r="L44" s="1"/>
  <c r="J43"/>
  <c r="I43"/>
  <c r="O21" i="3"/>
  <c r="J26"/>
  <c r="N22"/>
  <c r="O22" s="1"/>
  <c r="AN26"/>
  <c r="AN28" s="1"/>
  <c r="BF22"/>
  <c r="BF20" i="6"/>
  <c r="AB20"/>
  <c r="BG20" s="1"/>
  <c r="AN23" i="8"/>
  <c r="AN25" s="1"/>
  <c r="AO20"/>
  <c r="AB20" i="9"/>
  <c r="BG20" s="1"/>
  <c r="BF20"/>
  <c r="AN36" i="1"/>
  <c r="BF27" i="6"/>
  <c r="BG24"/>
  <c r="S29" i="1"/>
  <c r="BG24" i="3"/>
  <c r="BB25" i="6"/>
  <c r="BB28" s="1"/>
  <c r="D45" i="1"/>
  <c r="G32"/>
  <c r="AG33" s="1"/>
  <c r="AG38"/>
  <c r="AQ37"/>
  <c r="T25"/>
  <c r="AB25"/>
  <c r="AH40"/>
  <c r="AQ40"/>
  <c r="AG40"/>
  <c r="BB27" i="6"/>
  <c r="BG26"/>
  <c r="BG27" s="1"/>
  <c r="T28" i="1"/>
  <c r="AN28"/>
  <c r="F21" i="10"/>
  <c r="C20" i="2"/>
  <c r="AB25" i="3"/>
  <c r="BG25" s="1"/>
  <c r="BF25"/>
  <c r="AQ18" i="1"/>
  <c r="AC18"/>
  <c r="L18"/>
  <c r="AH18"/>
  <c r="AN18"/>
  <c r="AN26" s="1"/>
  <c r="I31"/>
  <c r="J31"/>
  <c r="AJ35"/>
  <c r="N35"/>
  <c r="N36" s="1"/>
  <c r="I35"/>
  <c r="L35" s="1"/>
  <c r="L36" s="1"/>
  <c r="BE21" i="3"/>
  <c r="AA21"/>
  <c r="BB21" i="6"/>
  <c r="BG21" s="1"/>
  <c r="BF21"/>
  <c r="F23" i="10"/>
  <c r="C22" i="2"/>
  <c r="AD23" i="9"/>
  <c r="BF18"/>
  <c r="AO18"/>
  <c r="AB23" i="3"/>
  <c r="BG23" s="1"/>
  <c r="BF23"/>
  <c r="AB36" i="1"/>
  <c r="AM29" i="8"/>
  <c r="K44" i="1"/>
  <c r="K35"/>
  <c r="K36" s="1"/>
  <c r="J44"/>
  <c r="BF24" i="3"/>
  <c r="BF19" i="9"/>
  <c r="U27" i="1"/>
  <c r="W27" s="1"/>
  <c r="U37"/>
  <c r="W37" s="1"/>
  <c r="N42"/>
  <c r="AQ42" s="1"/>
  <c r="N25" i="6"/>
  <c r="N28" s="1"/>
  <c r="AB23" i="8"/>
  <c r="AB25" s="1"/>
  <c r="AG27" i="1"/>
  <c r="AM27"/>
  <c r="AA30"/>
  <c r="AQ30"/>
  <c r="AC30"/>
  <c r="BB20" i="8"/>
  <c r="BF17" i="9"/>
  <c r="AB17"/>
  <c r="AA29" i="1"/>
  <c r="AB29"/>
  <c r="AG41"/>
  <c r="AQ41"/>
  <c r="AA41"/>
  <c r="AB41"/>
  <c r="AQ23"/>
  <c r="AC23"/>
  <c r="AA23"/>
  <c r="AB23"/>
  <c r="AH30"/>
  <c r="AN30"/>
  <c r="T30"/>
  <c r="AM42"/>
  <c r="G45"/>
  <c r="J45"/>
  <c r="I45" s="1"/>
  <c r="H19" i="11"/>
  <c r="H21" s="1"/>
  <c r="BG19" i="9"/>
  <c r="N27" i="1"/>
  <c r="N28"/>
  <c r="AG34"/>
  <c r="AJ36"/>
  <c r="AJ45" s="1"/>
  <c r="BA21" i="9"/>
  <c r="BA23" s="1"/>
  <c r="BB17"/>
  <c r="AH24" i="1"/>
  <c r="L24"/>
  <c r="AO26" i="3"/>
  <c r="AO28" s="1"/>
  <c r="G24" i="10" s="1"/>
  <c r="AB30" i="1"/>
  <c r="BG18" i="9"/>
  <c r="W28" i="1"/>
  <c r="AC28" s="1"/>
  <c r="AD28" s="1"/>
  <c r="BA26" i="3"/>
  <c r="BA28" s="1"/>
  <c r="BA25" i="6"/>
  <c r="BA28" s="1"/>
  <c r="BG21" i="8"/>
  <c r="AG39" i="1"/>
  <c r="I23" i="10"/>
  <c r="F22" i="2"/>
  <c r="F25" s="1"/>
  <c r="AU25" i="6"/>
  <c r="AU28" s="1"/>
  <c r="AM22" i="1"/>
  <c r="AC19"/>
  <c r="AB37"/>
  <c r="M20" i="6"/>
  <c r="N20" s="1"/>
  <c r="O20" s="1"/>
  <c r="O25" s="1"/>
  <c r="BF23"/>
  <c r="S30" i="1"/>
  <c r="AA19" i="6"/>
  <c r="AS25"/>
  <c r="AS28" s="1"/>
  <c r="BF21" i="8"/>
  <c r="BD18" i="9"/>
  <c r="O17"/>
  <c r="O21" s="1"/>
  <c r="G18" i="1"/>
  <c r="J26"/>
  <c r="G26" s="1"/>
  <c r="AC28" i="6"/>
  <c r="BA22" i="8"/>
  <c r="N20"/>
  <c r="N23" s="1"/>
  <c r="N25" s="1"/>
  <c r="G24" i="1"/>
  <c r="AP38"/>
  <c r="G38"/>
  <c r="H22" i="10"/>
  <c r="H26" s="1"/>
  <c r="AB24" i="1"/>
  <c r="G22" i="2"/>
  <c r="T19" i="1"/>
  <c r="AB19"/>
  <c r="AD20"/>
  <c r="BF27" i="3"/>
  <c r="BG27" s="1"/>
  <c r="BE21" i="8"/>
  <c r="BD17" i="9"/>
  <c r="BD21" s="1"/>
  <c r="BD23" s="1"/>
  <c r="AC37" i="1"/>
  <c r="I24" i="10"/>
  <c r="BE20" i="6"/>
  <c r="AN22"/>
  <c r="AN25" s="1"/>
  <c r="AN28" s="1"/>
  <c r="Q28"/>
  <c r="H25" i="10"/>
  <c r="N19" i="9"/>
  <c r="O19" s="1"/>
  <c r="AH19" i="1"/>
  <c r="V20"/>
  <c r="AH23"/>
  <c r="AQ24"/>
  <c r="AD38"/>
  <c r="V38"/>
  <c r="AM32" i="6" l="1"/>
  <c r="AM34"/>
  <c r="O28"/>
  <c r="AN32" i="1"/>
  <c r="AA20"/>
  <c r="AB20"/>
  <c r="AB26" s="1"/>
  <c r="AQ20"/>
  <c r="AC20"/>
  <c r="AB21" i="9"/>
  <c r="BG17"/>
  <c r="BG21" s="1"/>
  <c r="BG23" s="1"/>
  <c r="BB29" i="6"/>
  <c r="BB30" s="1"/>
  <c r="J25" i="10"/>
  <c r="X38" i="1"/>
  <c r="X44" s="1"/>
  <c r="V44"/>
  <c r="T38"/>
  <c r="S38"/>
  <c r="AM29" i="9"/>
  <c r="O23"/>
  <c r="AM27"/>
  <c r="AM18" i="1"/>
  <c r="AG18"/>
  <c r="AG26" s="1"/>
  <c r="S18"/>
  <c r="K18"/>
  <c r="K26" s="1"/>
  <c r="G21" i="10"/>
  <c r="E20" i="2"/>
  <c r="AB26" i="8"/>
  <c r="AB27" s="1"/>
  <c r="D22" i="10"/>
  <c r="AP43" i="1"/>
  <c r="AP44" s="1"/>
  <c r="AP45" s="1"/>
  <c r="G43"/>
  <c r="AO21" i="9"/>
  <c r="I17" i="11"/>
  <c r="I21" s="1"/>
  <c r="E22" i="2" s="1"/>
  <c r="AM37" i="1"/>
  <c r="AG37"/>
  <c r="AG44" s="1"/>
  <c r="S37"/>
  <c r="S44" s="1"/>
  <c r="AA37"/>
  <c r="BF23" i="8"/>
  <c r="BF25" s="1"/>
  <c r="AD26" i="1"/>
  <c r="BF21" i="9"/>
  <c r="BF23" s="1"/>
  <c r="G25" i="2"/>
  <c r="N43" i="1"/>
  <c r="N44" s="1"/>
  <c r="AO22" i="6"/>
  <c r="BF22"/>
  <c r="AG24" i="1"/>
  <c r="K24"/>
  <c r="S24"/>
  <c r="AM24"/>
  <c r="AN31"/>
  <c r="L31"/>
  <c r="L32" s="1"/>
  <c r="AH31"/>
  <c r="AH32" s="1"/>
  <c r="AH45" s="1"/>
  <c r="T31"/>
  <c r="AB38"/>
  <c r="AA38"/>
  <c r="U20"/>
  <c r="W20" s="1"/>
  <c r="X20"/>
  <c r="X26" s="1"/>
  <c r="X45" s="1"/>
  <c r="V26"/>
  <c r="T20"/>
  <c r="T26" s="1"/>
  <c r="S20"/>
  <c r="AQ38"/>
  <c r="AM38"/>
  <c r="AN38"/>
  <c r="BB21" i="9"/>
  <c r="J17" i="11"/>
  <c r="J21" s="1"/>
  <c r="I22" i="2" s="1"/>
  <c r="G44" i="1"/>
  <c r="I44"/>
  <c r="G31"/>
  <c r="N31"/>
  <c r="S22"/>
  <c r="T22"/>
  <c r="U22"/>
  <c r="W22" s="1"/>
  <c r="X22"/>
  <c r="L26"/>
  <c r="L45" s="1"/>
  <c r="F26" i="10"/>
  <c r="AD44" i="1"/>
  <c r="N26" i="3"/>
  <c r="N28" s="1"/>
  <c r="AQ36" i="1"/>
  <c r="V45"/>
  <c r="BB22" i="8"/>
  <c r="BG22" s="1"/>
  <c r="BF22"/>
  <c r="BF19" i="6"/>
  <c r="BF25" s="1"/>
  <c r="BF28" s="1"/>
  <c r="AB19"/>
  <c r="AA25"/>
  <c r="AA28" s="1"/>
  <c r="AB28" i="1"/>
  <c r="AA28"/>
  <c r="AQ28"/>
  <c r="AD27"/>
  <c r="N32"/>
  <c r="AA26" i="3"/>
  <c r="AA28" s="1"/>
  <c r="BF21"/>
  <c r="BF26" s="1"/>
  <c r="BF28" s="1"/>
  <c r="AB21"/>
  <c r="AG35" i="1"/>
  <c r="AH35"/>
  <c r="AH36" s="1"/>
  <c r="AQ35"/>
  <c r="BG20" i="8"/>
  <c r="BG23" s="1"/>
  <c r="BG25" s="1"/>
  <c r="AO23"/>
  <c r="AO25" s="1"/>
  <c r="AB22" i="1"/>
  <c r="AA22"/>
  <c r="AQ22"/>
  <c r="AC22"/>
  <c r="T37"/>
  <c r="T44" s="1"/>
  <c r="AN37"/>
  <c r="AH37"/>
  <c r="AH44" s="1"/>
  <c r="AA24"/>
  <c r="AB44"/>
  <c r="N21" i="9"/>
  <c r="N23" s="1"/>
  <c r="BA23" i="8"/>
  <c r="BA25" s="1"/>
  <c r="AH26" i="1"/>
  <c r="AA18"/>
  <c r="C25" i="2"/>
  <c r="AG36" i="1"/>
  <c r="I26"/>
  <c r="O26" i="3"/>
  <c r="T32" i="1"/>
  <c r="N45" l="1"/>
  <c r="AQ44"/>
  <c r="J21" i="10"/>
  <c r="I20" i="2"/>
  <c r="I25" s="1"/>
  <c r="J23" i="10"/>
  <c r="BB23" i="9"/>
  <c r="BB24"/>
  <c r="BB25" s="1"/>
  <c r="AM31" i="3"/>
  <c r="O28"/>
  <c r="BG21"/>
  <c r="BG26" s="1"/>
  <c r="BG28" s="1"/>
  <c r="AB26"/>
  <c r="AB28" s="1"/>
  <c r="D24" i="10" s="1"/>
  <c r="AA27" i="1"/>
  <c r="AC27"/>
  <c r="AB27"/>
  <c r="AQ27"/>
  <c r="AO26" i="8"/>
  <c r="AO27" s="1"/>
  <c r="G22" i="10"/>
  <c r="BG22" i="6"/>
  <c r="AO25"/>
  <c r="AO28" s="1"/>
  <c r="T45" i="1"/>
  <c r="AQ26"/>
  <c r="S26"/>
  <c r="AB25" i="6"/>
  <c r="AB28" s="1"/>
  <c r="BG19"/>
  <c r="AD31" i="1"/>
  <c r="K31"/>
  <c r="K32" s="1"/>
  <c r="K45" s="1"/>
  <c r="AB23" i="9"/>
  <c r="D23" i="10"/>
  <c r="AB24" i="9"/>
  <c r="AB25" s="1"/>
  <c r="AA44" i="1"/>
  <c r="E25" i="2"/>
  <c r="AM26" i="1"/>
  <c r="AG31"/>
  <c r="AG32" s="1"/>
  <c r="AG45" s="1"/>
  <c r="AM31"/>
  <c r="AM32" s="1"/>
  <c r="S31"/>
  <c r="S32" s="1"/>
  <c r="AO23" i="9"/>
  <c r="G23" i="10"/>
  <c r="AO24" i="9"/>
  <c r="AO25" s="1"/>
  <c r="AM43" i="1"/>
  <c r="AM44" s="1"/>
  <c r="AN43"/>
  <c r="AN44" s="1"/>
  <c r="AN45" s="1"/>
  <c r="AQ43"/>
  <c r="AA26"/>
  <c r="BB23" i="8"/>
  <c r="BB25" s="1"/>
  <c r="AB30" i="6" l="1"/>
  <c r="AB29"/>
  <c r="D25" i="10"/>
  <c r="AM45" i="1"/>
  <c r="BG25" i="6"/>
  <c r="BG28" s="1"/>
  <c r="AO29"/>
  <c r="AO30" s="1"/>
  <c r="G25" i="10"/>
  <c r="G26" s="1"/>
  <c r="J22"/>
  <c r="J26" s="1"/>
  <c r="BB26" i="8"/>
  <c r="BB27" s="1"/>
  <c r="AQ31" i="1"/>
  <c r="AB31"/>
  <c r="AB32" s="1"/>
  <c r="AB45" s="1"/>
  <c r="AC31"/>
  <c r="AA31"/>
  <c r="AA32" s="1"/>
  <c r="AA45" s="1"/>
  <c r="S45"/>
  <c r="AD32"/>
  <c r="AD45" l="1"/>
  <c r="D21" i="10" s="1"/>
  <c r="D26" s="1"/>
  <c r="AQ32" i="1"/>
</calcChain>
</file>

<file path=xl/sharedStrings.xml><?xml version="1.0" encoding="utf-8"?>
<sst xmlns="http://schemas.openxmlformats.org/spreadsheetml/2006/main" count="690" uniqueCount="191">
  <si>
    <t>Odjel za plan, analizu, razvoj i nadzor</t>
  </si>
  <si>
    <t>POTICAJNA SREDSTVA RH</t>
  </si>
  <si>
    <t>BJELOVAR 2</t>
  </si>
  <si>
    <t>CRES 2</t>
  </si>
  <si>
    <t>GOSPIĆ 2</t>
  </si>
  <si>
    <t>IVANIĆ GRAD 2</t>
  </si>
  <si>
    <t>KOMIŽA</t>
  </si>
  <si>
    <t>MAKARSKA</t>
  </si>
  <si>
    <t>NEREŽIŠĆA</t>
  </si>
  <si>
    <t>OGULIN</t>
  </si>
  <si>
    <t>OROSLAVJE 2</t>
  </si>
  <si>
    <t>SAMOBOR 2</t>
  </si>
  <si>
    <t>VIROVITICA</t>
  </si>
  <si>
    <t>VRGORAC</t>
  </si>
  <si>
    <t>PROGRAM B</t>
  </si>
  <si>
    <t>UKUPNO:</t>
  </si>
  <si>
    <t>R.B.</t>
  </si>
  <si>
    <t xml:space="preserve">LOKACIJE </t>
  </si>
  <si>
    <t>BROJ
STANOVA</t>
  </si>
  <si>
    <t>BROJ
PGM</t>
  </si>
  <si>
    <r>
      <t>NKP
(m</t>
    </r>
    <r>
      <rPr>
        <b/>
        <vertAlign val="superscript"/>
        <sz val="10"/>
        <rFont val="Times New Roman"/>
        <family val="1"/>
        <charset val="238"/>
      </rPr>
      <t>2</t>
    </r>
    <r>
      <rPr>
        <b/>
        <sz val="10"/>
        <rFont val="Times New Roman"/>
        <family val="1"/>
        <charset val="238"/>
      </rPr>
      <t>)</t>
    </r>
  </si>
  <si>
    <t>UKUPAN
IZNOS</t>
  </si>
  <si>
    <r>
      <t>IZNOS
€/m</t>
    </r>
    <r>
      <rPr>
        <b/>
        <vertAlign val="superscript"/>
        <sz val="10"/>
        <rFont val="Times New Roman"/>
        <family val="1"/>
        <charset val="238"/>
      </rPr>
      <t>2</t>
    </r>
  </si>
  <si>
    <t>UKUPAN 
IZNOS
(HRK)</t>
  </si>
  <si>
    <t>DO 31.12.2008.</t>
  </si>
  <si>
    <t>UTROŠENO U 2009.</t>
  </si>
  <si>
    <t>STANOVI</t>
  </si>
  <si>
    <t>%</t>
  </si>
  <si>
    <t>PGM</t>
  </si>
  <si>
    <t>STANOVI
(kom)</t>
  </si>
  <si>
    <t>PGM
(kom)</t>
  </si>
  <si>
    <r>
      <t>€/m</t>
    </r>
    <r>
      <rPr>
        <b/>
        <vertAlign val="superscript"/>
        <sz val="8"/>
        <rFont val="Times New Roman"/>
        <family val="1"/>
        <charset val="238"/>
      </rPr>
      <t>2</t>
    </r>
  </si>
  <si>
    <r>
      <t>€/m</t>
    </r>
    <r>
      <rPr>
        <b/>
        <vertAlign val="superscript"/>
        <sz val="10"/>
        <rFont val="Times New Roman"/>
        <family val="1"/>
        <charset val="238"/>
      </rPr>
      <t>2</t>
    </r>
  </si>
  <si>
    <t>UKUPAN IZNOS
(HRK)</t>
  </si>
  <si>
    <t>BIOGRAD 2</t>
  </si>
  <si>
    <t>KAŠTELA</t>
  </si>
  <si>
    <t>—</t>
  </si>
  <si>
    <t>ZADAR - CRVENE KUĆE</t>
  </si>
  <si>
    <t>ZAGREB - DUBOKI JARAK</t>
  </si>
  <si>
    <t>ZAGREB - SOPNICA JUG</t>
  </si>
  <si>
    <t>NOVE LOKACIJE</t>
  </si>
  <si>
    <t>TEČAJ 1€/HRK (24.09.2009.)</t>
  </si>
  <si>
    <t>KATEGORIJA</t>
  </si>
  <si>
    <t xml:space="preserve"> —</t>
  </si>
  <si>
    <t>UKUPAN IZNOS
 (HRK)</t>
  </si>
  <si>
    <t>IZGRADNJA
U 2009.</t>
  </si>
  <si>
    <t>IZGRADNJA
U 2011.</t>
  </si>
  <si>
    <t>IZGRADNJA
U 2012.</t>
  </si>
  <si>
    <t>2011.</t>
  </si>
  <si>
    <t>2012.</t>
  </si>
  <si>
    <t>2010.</t>
  </si>
  <si>
    <t>UKUPNO U IZGRADNJI U 2009.:</t>
  </si>
  <si>
    <t>SVEUKUPNO POS:</t>
  </si>
  <si>
    <t xml:space="preserve">PROGRAM B </t>
  </si>
  <si>
    <t>UKUPNO U IZGRADNJI U 2010.:</t>
  </si>
  <si>
    <t>UKUPNO U IZGRADNJI U 2011.:</t>
  </si>
  <si>
    <t>UKUPNO U IZGRADNJI U 2012.:</t>
  </si>
  <si>
    <t>UTROŠENO DO 31. 12. 2009.</t>
  </si>
  <si>
    <t>AGENCIJA</t>
  </si>
  <si>
    <t>UKUPNO POS:</t>
  </si>
  <si>
    <t>POTICAJNA SREDSTVA RH
(HRK)</t>
  </si>
  <si>
    <t>PLAN POTICAJNIH SREDSTAVA RH ZA POTREBE PROGRAMA POS-a
ZA PERIOD 2010. - 2012.</t>
  </si>
  <si>
    <t>Zagreb, 01. listopad 2009.</t>
  </si>
  <si>
    <t>IZNOS</t>
  </si>
  <si>
    <t>APN</t>
  </si>
  <si>
    <t>Grada Koprivnice</t>
  </si>
  <si>
    <t>Grada Rijeke</t>
  </si>
  <si>
    <t>Grada Varaždina</t>
  </si>
  <si>
    <t>Grada Dubrovnika</t>
  </si>
  <si>
    <r>
      <t>APOS</t>
    </r>
    <r>
      <rPr>
        <b/>
        <sz val="16"/>
        <rFont val="Times New Roman"/>
        <family val="1"/>
        <charset val="238"/>
      </rPr>
      <t xml:space="preserve">             Grada Rijeke </t>
    </r>
  </si>
  <si>
    <t>SVEUKUPNO 2010-2012</t>
  </si>
  <si>
    <t>REALIZACIJA 2009. GODINE</t>
  </si>
  <si>
    <t>BROJ STANOVA</t>
  </si>
  <si>
    <t>BROJ PGM</t>
  </si>
  <si>
    <t>I-III kvartal €/m2</t>
  </si>
  <si>
    <t>I-III kvartal ukupno €</t>
  </si>
  <si>
    <t>IV kvartal €/m2</t>
  </si>
  <si>
    <t>IV kvartal ukupno €</t>
  </si>
  <si>
    <t>2009 €/m2</t>
  </si>
  <si>
    <t xml:space="preserve">UKUPAN godišnji poticaj (HRK) </t>
  </si>
  <si>
    <t>I kvartal €/m2</t>
  </si>
  <si>
    <t>I kvartal ukupno €</t>
  </si>
  <si>
    <t>II kvartal €/m2</t>
  </si>
  <si>
    <t>II kvartal ukupno €</t>
  </si>
  <si>
    <t>III kvartal €/m2</t>
  </si>
  <si>
    <t>III kvartal ukupno €</t>
  </si>
  <si>
    <t>2010 ukupno €</t>
  </si>
  <si>
    <t>2011 ukupno €</t>
  </si>
  <si>
    <t>2012 ukupno €</t>
  </si>
  <si>
    <t>€/m2</t>
  </si>
  <si>
    <t>UKUPNO
 €</t>
  </si>
  <si>
    <t>UKUPNO HRK</t>
  </si>
  <si>
    <t>RUJEVICA II. FAZA</t>
  </si>
  <si>
    <t>DRENOVA</t>
  </si>
  <si>
    <t>MARTINKOVAC I. FAZA</t>
  </si>
  <si>
    <t>ŠKURINJSKO PLASE</t>
  </si>
  <si>
    <t>PROGRAM A:</t>
  </si>
  <si>
    <t>PROGRAM B:</t>
  </si>
  <si>
    <t>Zagreb, 29. rujan 2009.</t>
  </si>
  <si>
    <t>STRUKTURA CIJENE STANA IZ  PROGRAMA POS-A PO M2 NKP-A:</t>
  </si>
  <si>
    <t xml:space="preserve">Poticaj za kupnju zemljišta  </t>
  </si>
  <si>
    <t xml:space="preserve">Poticaj za usluge pripreme i projektiranja </t>
  </si>
  <si>
    <t>Maksimalni ukupni poticaj RH kad zemljište ne osigurava JLS</t>
  </si>
  <si>
    <t xml:space="preserve">Poticaj   agencija ne kupuje zemljište </t>
  </si>
  <si>
    <t>2009 ukupno</t>
  </si>
  <si>
    <t>LENIŠČE A1</t>
  </si>
  <si>
    <t>LENIŠČE A2</t>
  </si>
  <si>
    <t>LENIŠČE A3</t>
  </si>
  <si>
    <t>CINDRIŠĆE</t>
  </si>
  <si>
    <t>UKUPNO
HRK</t>
  </si>
  <si>
    <t>VŽ - HRAŠĆICA RAJČUL</t>
  </si>
  <si>
    <t>VŽ - HRAŠĆICA C+D</t>
  </si>
  <si>
    <t>VŽ - NOVAKOVA-MIKACOVA</t>
  </si>
  <si>
    <t>VŽ - SV. ANA (V. NOVAKA II. FAZA)</t>
  </si>
  <si>
    <t>VŽ - JALKOVEČKA - ČIKOVEC</t>
  </si>
  <si>
    <t>VŽ - BANFICA</t>
  </si>
  <si>
    <t>VŽ - OBITELJSKE KUĆE</t>
  </si>
  <si>
    <t>Varaždin, 29. rujna 2009.</t>
  </si>
  <si>
    <t>,</t>
  </si>
  <si>
    <t>Poticaj minus poticaj za usluge pripreme</t>
  </si>
  <si>
    <t>Mokošica II</t>
  </si>
  <si>
    <t>Solitudo</t>
  </si>
  <si>
    <t>Nuncijata</t>
  </si>
  <si>
    <t>LOKACIJE</t>
  </si>
  <si>
    <r>
      <t xml:space="preserve">
NKP 
( m</t>
    </r>
    <r>
      <rPr>
        <b/>
        <vertAlign val="superscript"/>
        <sz val="10"/>
        <rFont val="Times New Roman"/>
        <family val="1"/>
        <charset val="238"/>
      </rPr>
      <t>2</t>
    </r>
    <r>
      <rPr>
        <b/>
        <sz val="10"/>
        <rFont val="Times New Roman"/>
        <family val="1"/>
        <charset val="238"/>
      </rPr>
      <t>)</t>
    </r>
  </si>
  <si>
    <t>MARTINKOVAC II. FAZA</t>
  </si>
  <si>
    <t xml:space="preserve">UKUPAN IZNOS 
(HRK) </t>
  </si>
  <si>
    <t xml:space="preserve"> €/m2</t>
  </si>
  <si>
    <t>UKUPAN
IZNOS
(€/m2)</t>
  </si>
  <si>
    <t>Agencija za društveno poticanu stanogradnju Grada Rijeke
Titov trg 3
51 000 Rijeka</t>
  </si>
  <si>
    <t>Varaždin, 01. listopad 2009.</t>
  </si>
  <si>
    <t>AGD</t>
  </si>
  <si>
    <t>Agencija za društveno poticanu stanogradnju Grada Dubrovnika
Pod Dvorom 1
20 000 Dubrovnik</t>
  </si>
  <si>
    <t>PLAN POTICAJNIH SREDSTAVA RH ZA POTREBE PROGRAMA POS-a (JUGS-a)
U PERIODU 2010. - 2012.</t>
  </si>
  <si>
    <t>PLAN POTICAJNIH SREDSTAVA RH ZA POTREBE PROGRAMA POS-a (AGD-a)
U PERIODU 2010. - 2012.</t>
  </si>
  <si>
    <r>
      <t xml:space="preserve">APOS
</t>
    </r>
    <r>
      <rPr>
        <b/>
        <sz val="12"/>
        <rFont val="Times New Roman"/>
        <family val="1"/>
        <charset val="238"/>
      </rPr>
      <t>KOPRIVNICA</t>
    </r>
  </si>
  <si>
    <t>Agencija za društveno poticanu stanogradnju Grada Koprivnice
Zrinski trg 1
48 000 Koprivnica</t>
  </si>
  <si>
    <t>PLAN POTICAJNIH SREDSTAVA RH ZA POTREBE PROGRAMA POS-a (APOS-K)
U PERIODU 2010. - 2012.</t>
  </si>
  <si>
    <t>Umanjenje za 30%</t>
  </si>
  <si>
    <t>Plan umanjen za 30%</t>
  </si>
  <si>
    <t>Zagreb, 06. listopad 2009.</t>
  </si>
  <si>
    <t>POTREBNO OSIGURATI IZ
PRORAČUNA</t>
  </si>
  <si>
    <t>IZGRADNJA
U 2010.</t>
  </si>
  <si>
    <t>LOKACIJA</t>
  </si>
  <si>
    <r>
      <t>NKP
(m</t>
    </r>
    <r>
      <rPr>
        <b/>
        <vertAlign val="superscript"/>
        <sz val="8"/>
        <color indexed="8"/>
        <rFont val="Times New Roman"/>
        <family val="1"/>
        <charset val="238"/>
      </rPr>
      <t>2</t>
    </r>
    <r>
      <rPr>
        <b/>
        <sz val="8"/>
        <color indexed="8"/>
        <rFont val="Times New Roman"/>
        <family val="1"/>
        <charset val="238"/>
      </rPr>
      <t>)</t>
    </r>
  </si>
  <si>
    <r>
      <t>POTICAJNA
SREDSTVA
(€/m</t>
    </r>
    <r>
      <rPr>
        <b/>
        <vertAlign val="superscript"/>
        <sz val="8"/>
        <color indexed="8"/>
        <rFont val="Times New Roman"/>
        <family val="1"/>
        <charset val="238"/>
      </rPr>
      <t>2</t>
    </r>
    <r>
      <rPr>
        <b/>
        <sz val="8"/>
        <color indexed="8"/>
        <rFont val="Times New Roman"/>
        <family val="1"/>
        <charset val="238"/>
      </rPr>
      <t>)</t>
    </r>
  </si>
  <si>
    <t>UKUPNA
POTICAJNA 
SREDSTVA</t>
  </si>
  <si>
    <t>POTREBNA POTICAJNA SREDSTVA</t>
  </si>
  <si>
    <t>Agencija za društveno poticanu 
stanogradnju Grada Dubrovnika</t>
  </si>
  <si>
    <t>MOKOŠICA</t>
  </si>
  <si>
    <t>NUNCIJATA</t>
  </si>
  <si>
    <t>SOLITUDO</t>
  </si>
  <si>
    <t>Agencija za društveno poticanu 
stanogradnju Grada Koprivnice</t>
  </si>
  <si>
    <t>A1</t>
  </si>
  <si>
    <t>A2</t>
  </si>
  <si>
    <t>A3</t>
  </si>
  <si>
    <t>Agencija za društveno poticanu 
stanogradnju Grada Rijeke</t>
  </si>
  <si>
    <t>Javna ustanova "Gradski stanovi" Varaždin</t>
  </si>
  <si>
    <t>NOVAKOVA - MIKACOVA</t>
  </si>
  <si>
    <t>SV. ANA (II. FAZA NOVAKOVA)</t>
  </si>
  <si>
    <t>Tečaj na dan 22. listopad 2009</t>
  </si>
  <si>
    <t>JALKOVEČKA - ČIKOVEC</t>
  </si>
  <si>
    <t>BANFICA</t>
  </si>
  <si>
    <t>Zagreb, 26. listopad 2009.</t>
  </si>
  <si>
    <t xml:space="preserve"> KORIGIRANI PLAN POTICAJNIH SREDSTAVA RH ZA POTREBE PROGRAMA POS-a
ZA PERIOD 2010. - 2012. NA DAN 26. listopad 2009.</t>
  </si>
  <si>
    <t>KORIGIRANI PLAN POTICAJNIH SREDSTAVA RH ZA POTREBE PROGRAMA POS-a (APN-a)
U PERIODU 2010. - 2012. NA DAN 26. listopad 2009.</t>
  </si>
  <si>
    <t xml:space="preserve"> KORIGIRANI PLAN POTICAJNIH SREDSTAVA RH ZA POTREBE PROGRAMA POS-a (ZA LOKALNE AGENCIJE)
ZA PERIOD 2010. - 2012. NA DAN 26. listopad 2009.</t>
  </si>
  <si>
    <t>6.</t>
  </si>
  <si>
    <t>6a</t>
  </si>
  <si>
    <t>6b</t>
  </si>
  <si>
    <t>2013.</t>
  </si>
  <si>
    <t>Zagreb, 12. listopad 2010.</t>
  </si>
  <si>
    <t>Maksimalni iznos sredstava je upisan za 2011 i 2012 godinu</t>
  </si>
  <si>
    <t>2013 godina se planira prema  stvarnim potrebama</t>
  </si>
  <si>
    <t>Nezavršeni radovi planirani u okviru 2010 godine neće biti posebno plaćeni već se moraju uklopiti u iznose planirane u 2011.</t>
  </si>
  <si>
    <t>plaćeni  već se moraju uklopiti u iznose planirane u 2011.</t>
  </si>
  <si>
    <t xml:space="preserve">OSIGURANO OD POVRATA
</t>
  </si>
  <si>
    <t>Ravnatelj Agencije</t>
  </si>
  <si>
    <t>Svaka Agencija popunjava svoj red</t>
  </si>
  <si>
    <t xml:space="preserve">
</t>
  </si>
  <si>
    <t xml:space="preserve">Kreditiranje
individualne 
izgradnje
</t>
  </si>
  <si>
    <t xml:space="preserve">            </t>
  </si>
  <si>
    <t>TROGODIŠNJI  PLAN  POTICAJNIH  SREDSTAVA   2011  - 2013</t>
  </si>
  <si>
    <t>REALIZACIJA 2010. GODINE</t>
  </si>
  <si>
    <t>Rijeka, 14. listopad 2010.</t>
  </si>
  <si>
    <t>2010 € ukupno</t>
  </si>
  <si>
    <t>2013 ukupno €</t>
  </si>
  <si>
    <t>SVEUKUPNO 2011-2013</t>
  </si>
  <si>
    <t>Zagreb, 14. listopad 2010.</t>
  </si>
  <si>
    <t>PLAN POTICAJNIH SREDSTAVA RH ZA POTREBE PROGRAMA POS-a (APOS-a)
U PERIODU 2011. - 2013.</t>
  </si>
  <si>
    <t>tečaj</t>
  </si>
</sst>
</file>

<file path=xl/styles.xml><?xml version="1.0" encoding="utf-8"?>
<styleSheet xmlns="http://schemas.openxmlformats.org/spreadsheetml/2006/main">
  <numFmts count="4">
    <numFmt numFmtId="164" formatCode="#,##0.00\ &quot;kn&quot;"/>
    <numFmt numFmtId="165" formatCode="&quot;1€ =&quot;\ 0.000000\ &quot;HRK&quot;"/>
    <numFmt numFmtId="166" formatCode="&quot;8 = (6 x 7 x&quot;\ 0.000000&quot;)&quot;"/>
    <numFmt numFmtId="167" formatCode="#,##0.000000"/>
  </numFmts>
  <fonts count="41">
    <font>
      <sz val="8"/>
      <color theme="1"/>
      <name val="Times New Roman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2"/>
      <name val="Times New Roman"/>
      <family val="1"/>
      <charset val="238"/>
    </font>
    <font>
      <sz val="12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vertAlign val="superscript"/>
      <sz val="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28"/>
      <name val="Times New Roman"/>
      <family val="1"/>
      <charset val="238"/>
    </font>
    <font>
      <sz val="10"/>
      <color indexed="9"/>
      <name val="Times New Roman"/>
      <family val="1"/>
      <charset val="238"/>
    </font>
    <font>
      <sz val="8"/>
      <color indexed="9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vertAlign val="superscript"/>
      <sz val="8"/>
      <color indexed="8"/>
      <name val="Times New Roman"/>
      <family val="1"/>
      <charset val="238"/>
    </font>
    <font>
      <sz val="8"/>
      <name val="Times New Roman"/>
      <family val="2"/>
      <charset val="238"/>
    </font>
    <font>
      <sz val="10"/>
      <name val="Times New Roman"/>
      <family val="2"/>
      <charset val="238"/>
    </font>
    <font>
      <sz val="8"/>
      <color indexed="9"/>
      <name val="Times New Roman"/>
      <family val="2"/>
      <charset val="238"/>
    </font>
    <font>
      <sz val="8"/>
      <color indexed="10"/>
      <name val="Times New Roman"/>
      <family val="2"/>
      <charset val="238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color indexed="9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color indexed="8"/>
      <name val="Times New Roman"/>
      <family val="2"/>
      <charset val="238"/>
    </font>
    <font>
      <sz val="7"/>
      <color indexed="8"/>
      <name val="Times New Roman"/>
      <family val="2"/>
      <charset val="238"/>
    </font>
    <font>
      <b/>
      <sz val="10"/>
      <color indexed="8"/>
      <name val="Times New Roman"/>
      <family val="2"/>
      <charset val="238"/>
    </font>
    <font>
      <b/>
      <sz val="10"/>
      <color indexed="9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sz val="8"/>
      <color indexed="9"/>
      <name val="Times New Roman"/>
      <family val="1"/>
      <charset val="238"/>
    </font>
    <font>
      <sz val="12"/>
      <color indexed="9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1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ashDotDot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Dot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DotDot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DotDot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DotDot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DotDot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1026">
    <xf numFmtId="0" fontId="0" fillId="0" borderId="0" xfId="0"/>
    <xf numFmtId="0" fontId="2" fillId="0" borderId="0" xfId="13" applyFont="1"/>
    <xf numFmtId="10" fontId="3" fillId="0" borderId="0" xfId="13" applyNumberFormat="1" applyFont="1"/>
    <xf numFmtId="0" fontId="2" fillId="0" borderId="0" xfId="13" applyFont="1" applyBorder="1"/>
    <xf numFmtId="0" fontId="3" fillId="0" borderId="2" xfId="13" applyFont="1" applyBorder="1" applyAlignment="1">
      <alignment horizontal="center" vertical="center" wrapText="1"/>
    </xf>
    <xf numFmtId="10" fontId="3" fillId="0" borderId="2" xfId="13" applyNumberFormat="1" applyFont="1" applyBorder="1" applyAlignment="1">
      <alignment horizontal="center" vertical="center" wrapText="1"/>
    </xf>
    <xf numFmtId="0" fontId="3" fillId="0" borderId="3" xfId="13" applyFont="1" applyBorder="1" applyAlignment="1">
      <alignment horizontal="center" vertical="center" wrapText="1"/>
    </xf>
    <xf numFmtId="0" fontId="3" fillId="0" borderId="4" xfId="13" applyFont="1" applyBorder="1" applyAlignment="1">
      <alignment horizontal="center" vertical="center" wrapText="1"/>
    </xf>
    <xf numFmtId="0" fontId="7" fillId="0" borderId="0" xfId="13" applyFont="1" applyAlignment="1">
      <alignment vertical="center"/>
    </xf>
    <xf numFmtId="0" fontId="8" fillId="0" borderId="0" xfId="13" applyFont="1"/>
    <xf numFmtId="0" fontId="7" fillId="0" borderId="0" xfId="13" applyFont="1" applyAlignment="1">
      <alignment horizontal="center" vertical="center"/>
    </xf>
    <xf numFmtId="0" fontId="5" fillId="0" borderId="0" xfId="13" applyFont="1" applyAlignment="1">
      <alignment horizontal="center" vertical="center"/>
    </xf>
    <xf numFmtId="0" fontId="6" fillId="0" borderId="0" xfId="13" applyFont="1" applyAlignment="1">
      <alignment vertical="center"/>
    </xf>
    <xf numFmtId="0" fontId="6" fillId="0" borderId="0" xfId="13" applyFont="1" applyAlignment="1">
      <alignment horizontal="center" vertical="center"/>
    </xf>
    <xf numFmtId="0" fontId="5" fillId="0" borderId="5" xfId="13" applyFont="1" applyBorder="1" applyAlignment="1">
      <alignment horizontal="center" vertical="center" wrapText="1"/>
    </xf>
    <xf numFmtId="10" fontId="5" fillId="0" borderId="5" xfId="13" applyNumberFormat="1" applyFont="1" applyBorder="1" applyAlignment="1">
      <alignment horizontal="center" vertical="center" wrapText="1"/>
    </xf>
    <xf numFmtId="0" fontId="5" fillId="3" borderId="5" xfId="13" applyFont="1" applyFill="1" applyBorder="1" applyAlignment="1">
      <alignment horizontal="center" vertical="center" wrapText="1"/>
    </xf>
    <xf numFmtId="0" fontId="5" fillId="3" borderId="6" xfId="13" applyFont="1" applyFill="1" applyBorder="1" applyAlignment="1">
      <alignment horizontal="center" vertical="center" wrapText="1"/>
    </xf>
    <xf numFmtId="0" fontId="3" fillId="0" borderId="0" xfId="13" applyFont="1" applyAlignment="1">
      <alignment horizontal="center" vertical="center"/>
    </xf>
    <xf numFmtId="3" fontId="6" fillId="0" borderId="7" xfId="13" applyNumberFormat="1" applyFont="1" applyBorder="1" applyAlignment="1">
      <alignment horizontal="center" vertical="center"/>
    </xf>
    <xf numFmtId="0" fontId="6" fillId="0" borderId="7" xfId="13" applyFont="1" applyBorder="1" applyAlignment="1">
      <alignment horizontal="center" vertical="center"/>
    </xf>
    <xf numFmtId="3" fontId="2" fillId="0" borderId="0" xfId="13" applyNumberFormat="1" applyFont="1"/>
    <xf numFmtId="0" fontId="2" fillId="0" borderId="8" xfId="13" applyFont="1" applyBorder="1"/>
    <xf numFmtId="3" fontId="6" fillId="0" borderId="2" xfId="13" applyNumberFormat="1" applyFont="1" applyBorder="1" applyAlignment="1">
      <alignment horizontal="center" vertical="center" wrapText="1"/>
    </xf>
    <xf numFmtId="0" fontId="6" fillId="0" borderId="2" xfId="13" applyFont="1" applyBorder="1" applyAlignment="1">
      <alignment horizontal="center" vertical="center" wrapText="1"/>
    </xf>
    <xf numFmtId="0" fontId="6" fillId="0" borderId="2" xfId="13" applyFont="1" applyFill="1" applyBorder="1" applyAlignment="1">
      <alignment horizontal="center" vertical="center" wrapText="1"/>
    </xf>
    <xf numFmtId="2" fontId="2" fillId="0" borderId="0" xfId="13" applyNumberFormat="1" applyFont="1"/>
    <xf numFmtId="4" fontId="6" fillId="0" borderId="2" xfId="13" applyNumberFormat="1" applyFont="1" applyBorder="1" applyAlignment="1">
      <alignment horizontal="right" vertical="center" wrapText="1"/>
    </xf>
    <xf numFmtId="0" fontId="6" fillId="0" borderId="9" xfId="13" applyFont="1" applyBorder="1" applyAlignment="1">
      <alignment horizontal="center" vertical="center" wrapText="1"/>
    </xf>
    <xf numFmtId="3" fontId="6" fillId="0" borderId="10" xfId="13" applyNumberFormat="1" applyFont="1" applyBorder="1" applyAlignment="1">
      <alignment horizontal="center" vertical="center"/>
    </xf>
    <xf numFmtId="4" fontId="6" fillId="0" borderId="11" xfId="13" applyNumberFormat="1" applyFont="1" applyFill="1" applyBorder="1" applyAlignment="1">
      <alignment horizontal="right" vertical="center" wrapText="1"/>
    </xf>
    <xf numFmtId="4" fontId="6" fillId="0" borderId="9" xfId="13" applyNumberFormat="1" applyFont="1" applyBorder="1" applyAlignment="1">
      <alignment horizontal="right" vertical="center" wrapText="1"/>
    </xf>
    <xf numFmtId="4" fontId="6" fillId="0" borderId="7" xfId="13" applyNumberFormat="1" applyFont="1" applyBorder="1" applyAlignment="1">
      <alignment horizontal="right" vertical="center"/>
    </xf>
    <xf numFmtId="10" fontId="6" fillId="0" borderId="2" xfId="13" applyNumberFormat="1" applyFont="1" applyBorder="1" applyAlignment="1">
      <alignment horizontal="right" vertical="center" wrapText="1"/>
    </xf>
    <xf numFmtId="0" fontId="6" fillId="4" borderId="6" xfId="13" applyFont="1" applyFill="1" applyBorder="1" applyAlignment="1">
      <alignment horizontal="center" vertical="center" wrapText="1"/>
    </xf>
    <xf numFmtId="4" fontId="6" fillId="0" borderId="12" xfId="13" applyNumberFormat="1" applyFont="1" applyBorder="1" applyAlignment="1">
      <alignment vertical="center"/>
    </xf>
    <xf numFmtId="4" fontId="6" fillId="0" borderId="7" xfId="13" applyNumberFormat="1" applyFont="1" applyBorder="1" applyAlignment="1">
      <alignment vertical="center"/>
    </xf>
    <xf numFmtId="0" fontId="5" fillId="5" borderId="5" xfId="13" applyFont="1" applyFill="1" applyBorder="1" applyAlignment="1">
      <alignment horizontal="center" vertical="center" wrapText="1"/>
    </xf>
    <xf numFmtId="0" fontId="5" fillId="5" borderId="13" xfId="13" applyFont="1" applyFill="1" applyBorder="1" applyAlignment="1">
      <alignment horizontal="center" vertical="center" wrapText="1"/>
    </xf>
    <xf numFmtId="4" fontId="6" fillId="0" borderId="4" xfId="13" applyNumberFormat="1" applyFont="1" applyBorder="1" applyAlignment="1">
      <alignment horizontal="right" vertical="center" wrapText="1"/>
    </xf>
    <xf numFmtId="4" fontId="6" fillId="0" borderId="14" xfId="13" applyNumberFormat="1" applyFont="1" applyBorder="1" applyAlignment="1">
      <alignment horizontal="right" vertical="center"/>
    </xf>
    <xf numFmtId="4" fontId="6" fillId="0" borderId="10" xfId="13" applyNumberFormat="1" applyFont="1" applyBorder="1" applyAlignment="1">
      <alignment vertical="center"/>
    </xf>
    <xf numFmtId="0" fontId="3" fillId="0" borderId="2" xfId="13" applyFont="1" applyBorder="1" applyAlignment="1">
      <alignment horizontal="center" vertical="center"/>
    </xf>
    <xf numFmtId="0" fontId="3" fillId="0" borderId="15" xfId="13" applyFont="1" applyBorder="1" applyAlignment="1">
      <alignment horizontal="center" vertical="center"/>
    </xf>
    <xf numFmtId="0" fontId="3" fillId="0" borderId="9" xfId="13" applyFont="1" applyBorder="1" applyAlignment="1">
      <alignment horizontal="center" vertical="center"/>
    </xf>
    <xf numFmtId="0" fontId="3" fillId="0" borderId="9" xfId="13" applyFont="1" applyBorder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center" wrapText="1"/>
    </xf>
    <xf numFmtId="166" fontId="3" fillId="0" borderId="11" xfId="13" applyNumberFormat="1" applyFont="1" applyFill="1" applyBorder="1" applyAlignment="1">
      <alignment horizontal="center" vertical="center" wrapText="1"/>
    </xf>
    <xf numFmtId="0" fontId="6" fillId="4" borderId="16" xfId="13" applyFont="1" applyFill="1" applyBorder="1" applyAlignment="1">
      <alignment horizontal="center" vertical="center" wrapText="1"/>
    </xf>
    <xf numFmtId="0" fontId="2" fillId="0" borderId="9" xfId="13" applyFont="1" applyBorder="1" applyAlignment="1">
      <alignment horizontal="center" vertical="center" wrapText="1"/>
    </xf>
    <xf numFmtId="0" fontId="2" fillId="0" borderId="2" xfId="13" applyFont="1" applyBorder="1" applyAlignment="1">
      <alignment horizontal="center" vertical="center" wrapText="1"/>
    </xf>
    <xf numFmtId="4" fontId="6" fillId="0" borderId="12" xfId="13" applyNumberFormat="1" applyFont="1" applyBorder="1" applyAlignment="1">
      <alignment horizontal="right" vertical="center"/>
    </xf>
    <xf numFmtId="0" fontId="2" fillId="0" borderId="0" xfId="13" applyFont="1" applyAlignment="1">
      <alignment horizontal="right"/>
    </xf>
    <xf numFmtId="0" fontId="6" fillId="6" borderId="17" xfId="13" applyFont="1" applyFill="1" applyBorder="1" applyAlignment="1">
      <alignment horizontal="center" vertical="center" wrapText="1"/>
    </xf>
    <xf numFmtId="0" fontId="5" fillId="7" borderId="5" xfId="13" applyFont="1" applyFill="1" applyBorder="1" applyAlignment="1">
      <alignment horizontal="center" vertical="center" wrapText="1"/>
    </xf>
    <xf numFmtId="0" fontId="5" fillId="7" borderId="13" xfId="13" applyFont="1" applyFill="1" applyBorder="1" applyAlignment="1">
      <alignment horizontal="center" vertical="center" wrapText="1"/>
    </xf>
    <xf numFmtId="0" fontId="5" fillId="6" borderId="5" xfId="13" applyFont="1" applyFill="1" applyBorder="1" applyAlignment="1">
      <alignment horizontal="center" vertical="center" wrapText="1"/>
    </xf>
    <xf numFmtId="0" fontId="25" fillId="0" borderId="18" xfId="13" applyFont="1" applyBorder="1" applyAlignment="1">
      <alignment horizontal="center"/>
    </xf>
    <xf numFmtId="0" fontId="25" fillId="0" borderId="19" xfId="13" applyFont="1" applyBorder="1"/>
    <xf numFmtId="3" fontId="25" fillId="0" borderId="19" xfId="13" applyNumberFormat="1" applyFont="1" applyBorder="1" applyAlignment="1">
      <alignment horizontal="center"/>
    </xf>
    <xf numFmtId="4" fontId="25" fillId="0" borderId="19" xfId="13" applyNumberFormat="1" applyFont="1" applyBorder="1" applyAlignment="1">
      <alignment horizontal="right"/>
    </xf>
    <xf numFmtId="10" fontId="26" fillId="0" borderId="17" xfId="13" applyNumberFormat="1" applyFont="1" applyBorder="1" applyAlignment="1">
      <alignment horizontal="right" wrapText="1"/>
    </xf>
    <xf numFmtId="4" fontId="25" fillId="0" borderId="20" xfId="13" applyNumberFormat="1" applyFont="1" applyBorder="1" applyAlignment="1">
      <alignment horizontal="right" wrapText="1"/>
    </xf>
    <xf numFmtId="4" fontId="25" fillId="6" borderId="21" xfId="13" applyNumberFormat="1" applyFont="1" applyFill="1" applyBorder="1" applyAlignment="1">
      <alignment horizontal="right" wrapText="1"/>
    </xf>
    <xf numFmtId="4" fontId="25" fillId="6" borderId="17" xfId="13" applyNumberFormat="1" applyFont="1" applyFill="1" applyBorder="1" applyAlignment="1">
      <alignment horizontal="right" wrapText="1"/>
    </xf>
    <xf numFmtId="4" fontId="25" fillId="6" borderId="19" xfId="13" applyNumberFormat="1" applyFont="1" applyFill="1" applyBorder="1" applyAlignment="1">
      <alignment horizontal="center"/>
    </xf>
    <xf numFmtId="4" fontId="25" fillId="6" borderId="22" xfId="13" applyNumberFormat="1" applyFont="1" applyFill="1" applyBorder="1" applyAlignment="1">
      <alignment horizontal="right" wrapText="1"/>
    </xf>
    <xf numFmtId="4" fontId="25" fillId="0" borderId="21" xfId="13" applyNumberFormat="1" applyFont="1" applyBorder="1" applyAlignment="1">
      <alignment horizontal="center" wrapText="1"/>
    </xf>
    <xf numFmtId="4" fontId="25" fillId="0" borderId="21" xfId="13" applyNumberFormat="1" applyFont="1" applyBorder="1" applyAlignment="1">
      <alignment horizontal="right" wrapText="1"/>
    </xf>
    <xf numFmtId="3" fontId="25" fillId="3" borderId="21" xfId="13" applyNumberFormat="1" applyFont="1" applyFill="1" applyBorder="1" applyAlignment="1">
      <alignment horizontal="center" wrapText="1"/>
    </xf>
    <xf numFmtId="3" fontId="25" fillId="5" borderId="17" xfId="13" applyNumberFormat="1" applyFont="1" applyFill="1" applyBorder="1" applyAlignment="1">
      <alignment horizontal="center" wrapText="1"/>
    </xf>
    <xf numFmtId="4" fontId="25" fillId="5" borderId="20" xfId="13" applyNumberFormat="1" applyFont="1" applyFill="1" applyBorder="1" applyAlignment="1">
      <alignment horizontal="right" wrapText="1"/>
    </xf>
    <xf numFmtId="0" fontId="25" fillId="0" borderId="0" xfId="13" applyFont="1" applyAlignment="1"/>
    <xf numFmtId="0" fontId="25" fillId="0" borderId="0" xfId="13" applyFont="1"/>
    <xf numFmtId="4" fontId="25" fillId="0" borderId="0" xfId="13" applyNumberFormat="1" applyFont="1"/>
    <xf numFmtId="0" fontId="25" fillId="0" borderId="23" xfId="13" applyFont="1" applyBorder="1" applyAlignment="1">
      <alignment horizontal="center" vertical="center"/>
    </xf>
    <xf numFmtId="0" fontId="25" fillId="0" borderId="24" xfId="13" applyFont="1" applyBorder="1" applyAlignment="1">
      <alignment horizontal="left" vertical="center"/>
    </xf>
    <xf numFmtId="3" fontId="25" fillId="0" borderId="25" xfId="13" applyNumberFormat="1" applyFont="1" applyBorder="1" applyAlignment="1">
      <alignment horizontal="center" vertical="center"/>
    </xf>
    <xf numFmtId="0" fontId="25" fillId="0" borderId="0" xfId="13" applyFont="1" applyAlignment="1">
      <alignment vertical="center"/>
    </xf>
    <xf numFmtId="0" fontId="5" fillId="7" borderId="26" xfId="13" applyFont="1" applyFill="1" applyBorder="1" applyAlignment="1">
      <alignment horizontal="center" vertical="center" wrapText="1"/>
    </xf>
    <xf numFmtId="3" fontId="6" fillId="0" borderId="9" xfId="13" applyNumberFormat="1" applyFont="1" applyBorder="1" applyAlignment="1">
      <alignment horizontal="center" vertical="center" wrapText="1"/>
    </xf>
    <xf numFmtId="0" fontId="3" fillId="0" borderId="15" xfId="13" applyFont="1" applyBorder="1" applyAlignment="1">
      <alignment horizontal="center" vertical="center" wrapText="1"/>
    </xf>
    <xf numFmtId="3" fontId="6" fillId="0" borderId="15" xfId="13" applyNumberFormat="1" applyFont="1" applyBorder="1" applyAlignment="1">
      <alignment horizontal="center" vertical="center" wrapText="1"/>
    </xf>
    <xf numFmtId="0" fontId="6" fillId="6" borderId="23" xfId="13" applyFont="1" applyFill="1" applyBorder="1" applyAlignment="1">
      <alignment horizontal="center" vertical="center" wrapText="1"/>
    </xf>
    <xf numFmtId="0" fontId="5" fillId="6" borderId="27" xfId="13" applyFont="1" applyFill="1" applyBorder="1" applyAlignment="1">
      <alignment horizontal="center" vertical="center" wrapText="1"/>
    </xf>
    <xf numFmtId="4" fontId="6" fillId="0" borderId="15" xfId="13" applyNumberFormat="1" applyFont="1" applyBorder="1" applyAlignment="1">
      <alignment horizontal="right" vertical="center" wrapText="1"/>
    </xf>
    <xf numFmtId="4" fontId="25" fillId="6" borderId="26" xfId="13" applyNumberFormat="1" applyFont="1" applyFill="1" applyBorder="1" applyAlignment="1">
      <alignment horizontal="right" wrapText="1"/>
    </xf>
    <xf numFmtId="4" fontId="25" fillId="6" borderId="5" xfId="13" applyNumberFormat="1" applyFont="1" applyFill="1" applyBorder="1" applyAlignment="1">
      <alignment horizontal="right" wrapText="1"/>
    </xf>
    <xf numFmtId="4" fontId="25" fillId="6" borderId="5" xfId="13" applyNumberFormat="1" applyFont="1" applyFill="1" applyBorder="1" applyAlignment="1">
      <alignment horizontal="center"/>
    </xf>
    <xf numFmtId="4" fontId="25" fillId="6" borderId="28" xfId="13" applyNumberFormat="1" applyFont="1" applyFill="1" applyBorder="1" applyAlignment="1">
      <alignment horizontal="right" wrapText="1"/>
    </xf>
    <xf numFmtId="4" fontId="25" fillId="0" borderId="26" xfId="13" applyNumberFormat="1" applyFont="1" applyBorder="1" applyAlignment="1">
      <alignment horizontal="center" wrapText="1"/>
    </xf>
    <xf numFmtId="4" fontId="25" fillId="0" borderId="5" xfId="13" applyNumberFormat="1" applyFont="1" applyBorder="1" applyAlignment="1">
      <alignment horizontal="right" wrapText="1"/>
    </xf>
    <xf numFmtId="3" fontId="25" fillId="3" borderId="5" xfId="13" applyNumberFormat="1" applyFont="1" applyFill="1" applyBorder="1" applyAlignment="1">
      <alignment horizontal="center" wrapText="1"/>
    </xf>
    <xf numFmtId="3" fontId="25" fillId="5" borderId="5" xfId="13" applyNumberFormat="1" applyFont="1" applyFill="1" applyBorder="1" applyAlignment="1">
      <alignment horizontal="center" wrapText="1"/>
    </xf>
    <xf numFmtId="4" fontId="25" fillId="5" borderId="5" xfId="13" applyNumberFormat="1" applyFont="1" applyFill="1" applyBorder="1" applyAlignment="1">
      <alignment horizontal="right" wrapText="1"/>
    </xf>
    <xf numFmtId="4" fontId="25" fillId="5" borderId="13" xfId="13" applyNumberFormat="1" applyFont="1" applyFill="1" applyBorder="1" applyAlignment="1">
      <alignment horizontal="right" wrapText="1"/>
    </xf>
    <xf numFmtId="0" fontId="25" fillId="0" borderId="29" xfId="13" applyFont="1" applyBorder="1" applyAlignment="1">
      <alignment horizontal="center"/>
    </xf>
    <xf numFmtId="10" fontId="26" fillId="0" borderId="30" xfId="13" applyNumberFormat="1" applyFont="1" applyBorder="1" applyAlignment="1">
      <alignment horizontal="right" wrapText="1"/>
    </xf>
    <xf numFmtId="4" fontId="25" fillId="0" borderId="31" xfId="13" applyNumberFormat="1" applyFont="1" applyBorder="1" applyAlignment="1">
      <alignment horizontal="right" wrapText="1"/>
    </xf>
    <xf numFmtId="4" fontId="25" fillId="6" borderId="29" xfId="13" applyNumberFormat="1" applyFont="1" applyFill="1" applyBorder="1" applyAlignment="1">
      <alignment horizontal="right" wrapText="1"/>
    </xf>
    <xf numFmtId="4" fontId="25" fillId="6" borderId="30" xfId="13" applyNumberFormat="1" applyFont="1" applyFill="1" applyBorder="1" applyAlignment="1">
      <alignment horizontal="right" wrapText="1"/>
    </xf>
    <xf numFmtId="4" fontId="25" fillId="6" borderId="32" xfId="13" applyNumberFormat="1" applyFont="1" applyFill="1" applyBorder="1" applyAlignment="1">
      <alignment horizontal="right" wrapText="1"/>
    </xf>
    <xf numFmtId="4" fontId="25" fillId="0" borderId="33" xfId="13" applyNumberFormat="1" applyFont="1" applyBorder="1" applyAlignment="1">
      <alignment horizontal="center" wrapText="1"/>
    </xf>
    <xf numFmtId="4" fontId="25" fillId="0" borderId="33" xfId="13" applyNumberFormat="1" applyFont="1" applyBorder="1" applyAlignment="1">
      <alignment horizontal="right" wrapText="1"/>
    </xf>
    <xf numFmtId="3" fontId="25" fillId="3" borderId="33" xfId="13" applyNumberFormat="1" applyFont="1" applyFill="1" applyBorder="1" applyAlignment="1">
      <alignment horizontal="center" wrapText="1"/>
    </xf>
    <xf numFmtId="4" fontId="25" fillId="3" borderId="30" xfId="13" applyNumberFormat="1" applyFont="1" applyFill="1" applyBorder="1" applyAlignment="1">
      <alignment horizontal="right" wrapText="1"/>
    </xf>
    <xf numFmtId="3" fontId="25" fillId="5" borderId="30" xfId="13" applyNumberFormat="1" applyFont="1" applyFill="1" applyBorder="1" applyAlignment="1">
      <alignment horizontal="center" wrapText="1"/>
    </xf>
    <xf numFmtId="4" fontId="25" fillId="5" borderId="31" xfId="13" applyNumberFormat="1" applyFont="1" applyFill="1" applyBorder="1" applyAlignment="1">
      <alignment horizontal="right" wrapText="1"/>
    </xf>
    <xf numFmtId="4" fontId="25" fillId="6" borderId="23" xfId="13" applyNumberFormat="1" applyFont="1" applyFill="1" applyBorder="1" applyAlignment="1">
      <alignment horizontal="right" wrapText="1"/>
    </xf>
    <xf numFmtId="4" fontId="25" fillId="0" borderId="17" xfId="13" applyNumberFormat="1" applyFont="1" applyBorder="1" applyAlignment="1">
      <alignment horizontal="right" wrapText="1"/>
    </xf>
    <xf numFmtId="10" fontId="26" fillId="0" borderId="19" xfId="13" applyNumberFormat="1" applyFont="1" applyBorder="1" applyAlignment="1">
      <alignment horizontal="right" wrapText="1"/>
    </xf>
    <xf numFmtId="4" fontId="25" fillId="0" borderId="34" xfId="13" applyNumberFormat="1" applyFont="1" applyBorder="1" applyAlignment="1">
      <alignment horizontal="right" wrapText="1"/>
    </xf>
    <xf numFmtId="4" fontId="25" fillId="6" borderId="18" xfId="13" applyNumberFormat="1" applyFont="1" applyFill="1" applyBorder="1" applyAlignment="1">
      <alignment horizontal="right" wrapText="1"/>
    </xf>
    <xf numFmtId="4" fontId="25" fillId="6" borderId="19" xfId="13" applyNumberFormat="1" applyFont="1" applyFill="1" applyBorder="1" applyAlignment="1">
      <alignment horizontal="right" wrapText="1"/>
    </xf>
    <xf numFmtId="4" fontId="25" fillId="6" borderId="35" xfId="13" applyNumberFormat="1" applyFont="1" applyFill="1" applyBorder="1" applyAlignment="1">
      <alignment horizontal="right" wrapText="1"/>
    </xf>
    <xf numFmtId="4" fontId="25" fillId="0" borderId="36" xfId="13" applyNumberFormat="1" applyFont="1" applyBorder="1" applyAlignment="1">
      <alignment horizontal="center" wrapText="1"/>
    </xf>
    <xf numFmtId="4" fontId="25" fillId="0" borderId="36" xfId="13" applyNumberFormat="1" applyFont="1" applyBorder="1" applyAlignment="1">
      <alignment horizontal="right" wrapText="1"/>
    </xf>
    <xf numFmtId="3" fontId="25" fillId="5" borderId="19" xfId="13" applyNumberFormat="1" applyFont="1" applyFill="1" applyBorder="1" applyAlignment="1">
      <alignment horizontal="center" wrapText="1"/>
    </xf>
    <xf numFmtId="4" fontId="25" fillId="5" borderId="34" xfId="13" applyNumberFormat="1" applyFont="1" applyFill="1" applyBorder="1" applyAlignment="1">
      <alignment horizontal="right" wrapText="1"/>
    </xf>
    <xf numFmtId="4" fontId="25" fillId="6" borderId="36" xfId="13" applyNumberFormat="1" applyFont="1" applyFill="1" applyBorder="1" applyAlignment="1">
      <alignment horizontal="right" wrapText="1"/>
    </xf>
    <xf numFmtId="0" fontId="27" fillId="0" borderId="6" xfId="13" applyFont="1" applyFill="1" applyBorder="1" applyAlignment="1">
      <alignment horizontal="center" vertical="center" wrapText="1"/>
    </xf>
    <xf numFmtId="3" fontId="25" fillId="3" borderId="17" xfId="13" applyNumberFormat="1" applyFont="1" applyFill="1" applyBorder="1" applyAlignment="1">
      <alignment horizontal="center" wrapText="1"/>
    </xf>
    <xf numFmtId="3" fontId="27" fillId="0" borderId="6" xfId="13" applyNumberFormat="1" applyFont="1" applyFill="1" applyBorder="1" applyAlignment="1">
      <alignment horizontal="center" vertical="center"/>
    </xf>
    <xf numFmtId="4" fontId="27" fillId="0" borderId="6" xfId="13" applyNumberFormat="1" applyFont="1" applyFill="1" applyBorder="1" applyAlignment="1">
      <alignment horizontal="right" vertical="center"/>
    </xf>
    <xf numFmtId="10" fontId="28" fillId="0" borderId="6" xfId="13" applyNumberFormat="1" applyFont="1" applyFill="1" applyBorder="1" applyAlignment="1">
      <alignment horizontal="right" vertical="center" wrapText="1"/>
    </xf>
    <xf numFmtId="4" fontId="27" fillId="0" borderId="37" xfId="13" applyNumberFormat="1" applyFont="1" applyFill="1" applyBorder="1" applyAlignment="1">
      <alignment horizontal="right" vertical="center" wrapText="1"/>
    </xf>
    <xf numFmtId="4" fontId="27" fillId="0" borderId="16" xfId="13" applyNumberFormat="1" applyFont="1" applyFill="1" applyBorder="1" applyAlignment="1">
      <alignment horizontal="right" vertical="center" wrapText="1"/>
    </xf>
    <xf numFmtId="4" fontId="27" fillId="0" borderId="6" xfId="13" applyNumberFormat="1" applyFont="1" applyFill="1" applyBorder="1" applyAlignment="1">
      <alignment horizontal="right" vertical="center" wrapText="1"/>
    </xf>
    <xf numFmtId="4" fontId="27" fillId="0" borderId="38" xfId="13" applyNumberFormat="1" applyFont="1" applyFill="1" applyBorder="1" applyAlignment="1">
      <alignment horizontal="right" vertical="center" wrapText="1"/>
    </xf>
    <xf numFmtId="0" fontId="27" fillId="0" borderId="16" xfId="13" applyFont="1" applyFill="1" applyBorder="1" applyAlignment="1">
      <alignment horizontal="center" vertical="center" wrapText="1"/>
    </xf>
    <xf numFmtId="3" fontId="27" fillId="0" borderId="6" xfId="13" applyNumberFormat="1" applyFont="1" applyFill="1" applyBorder="1" applyAlignment="1">
      <alignment horizontal="center" vertical="center" wrapText="1"/>
    </xf>
    <xf numFmtId="4" fontId="27" fillId="0" borderId="0" xfId="13" applyNumberFormat="1" applyFont="1" applyFill="1" applyAlignment="1">
      <alignment vertical="center"/>
    </xf>
    <xf numFmtId="0" fontId="27" fillId="0" borderId="0" xfId="13" applyFont="1" applyFill="1" applyAlignment="1">
      <alignment vertical="center"/>
    </xf>
    <xf numFmtId="0" fontId="25" fillId="0" borderId="23" xfId="13" applyFont="1" applyBorder="1" applyAlignment="1">
      <alignment horizontal="center"/>
    </xf>
    <xf numFmtId="0" fontId="25" fillId="0" borderId="17" xfId="13" applyFont="1" applyBorder="1"/>
    <xf numFmtId="3" fontId="25" fillId="0" borderId="17" xfId="13" applyNumberFormat="1" applyFont="1" applyBorder="1" applyAlignment="1">
      <alignment horizontal="center"/>
    </xf>
    <xf numFmtId="4" fontId="25" fillId="0" borderId="17" xfId="13" applyNumberFormat="1" applyFont="1" applyBorder="1" applyAlignment="1">
      <alignment horizontal="right"/>
    </xf>
    <xf numFmtId="4" fontId="25" fillId="6" borderId="17" xfId="13" applyNumberFormat="1" applyFont="1" applyFill="1" applyBorder="1" applyAlignment="1">
      <alignment horizontal="center"/>
    </xf>
    <xf numFmtId="0" fontId="27" fillId="4" borderId="0" xfId="13" applyFont="1" applyFill="1" applyAlignment="1">
      <alignment vertical="center"/>
    </xf>
    <xf numFmtId="0" fontId="7" fillId="0" borderId="0" xfId="13" applyFont="1" applyAlignment="1">
      <alignment horizontal="right" vertical="center"/>
    </xf>
    <xf numFmtId="4" fontId="29" fillId="0" borderId="0" xfId="13" applyNumberFormat="1" applyFont="1" applyAlignment="1">
      <alignment horizontal="right"/>
    </xf>
    <xf numFmtId="0" fontId="2" fillId="0" borderId="0" xfId="13" applyFont="1" applyAlignment="1">
      <alignment horizontal="center"/>
    </xf>
    <xf numFmtId="4" fontId="2" fillId="0" borderId="0" xfId="13" applyNumberFormat="1" applyFont="1" applyAlignment="1">
      <alignment horizontal="right"/>
    </xf>
    <xf numFmtId="3" fontId="7" fillId="0" borderId="0" xfId="13" applyNumberFormat="1" applyFont="1" applyAlignment="1">
      <alignment horizontal="center"/>
    </xf>
    <xf numFmtId="0" fontId="7" fillId="0" borderId="0" xfId="13" applyFont="1" applyAlignment="1">
      <alignment horizontal="center"/>
    </xf>
    <xf numFmtId="0" fontId="3" fillId="0" borderId="2" xfId="13" applyFont="1" applyBorder="1" applyAlignment="1">
      <alignment horizontal="center" wrapText="1"/>
    </xf>
    <xf numFmtId="3" fontId="2" fillId="0" borderId="0" xfId="13" applyNumberFormat="1" applyFont="1" applyAlignment="1">
      <alignment horizontal="center"/>
    </xf>
    <xf numFmtId="0" fontId="2" fillId="0" borderId="0" xfId="13" applyFont="1" applyBorder="1" applyAlignment="1">
      <alignment horizontal="right"/>
    </xf>
    <xf numFmtId="4" fontId="2" fillId="0" borderId="0" xfId="13" applyNumberFormat="1" applyFont="1" applyBorder="1" applyAlignment="1">
      <alignment horizontal="right"/>
    </xf>
    <xf numFmtId="4" fontId="25" fillId="5" borderId="17" xfId="13" applyNumberFormat="1" applyFont="1" applyFill="1" applyBorder="1" applyAlignment="1">
      <alignment horizontal="right" wrapText="1"/>
    </xf>
    <xf numFmtId="4" fontId="25" fillId="5" borderId="30" xfId="13" applyNumberFormat="1" applyFont="1" applyFill="1" applyBorder="1" applyAlignment="1">
      <alignment horizontal="right" wrapText="1"/>
    </xf>
    <xf numFmtId="4" fontId="25" fillId="5" borderId="19" xfId="13" applyNumberFormat="1" applyFont="1" applyFill="1" applyBorder="1" applyAlignment="1">
      <alignment horizontal="right" wrapText="1"/>
    </xf>
    <xf numFmtId="0" fontId="2" fillId="0" borderId="0" xfId="13" applyFont="1" applyBorder="1" applyAlignment="1">
      <alignment horizontal="center"/>
    </xf>
    <xf numFmtId="0" fontId="5" fillId="0" borderId="0" xfId="13" applyFont="1" applyAlignment="1">
      <alignment horizontal="right" vertical="center"/>
    </xf>
    <xf numFmtId="4" fontId="25" fillId="3" borderId="17" xfId="13" applyNumberFormat="1" applyFont="1" applyFill="1" applyBorder="1" applyAlignment="1">
      <alignment horizontal="right" wrapText="1"/>
    </xf>
    <xf numFmtId="4" fontId="25" fillId="3" borderId="19" xfId="13" applyNumberFormat="1" applyFont="1" applyFill="1" applyBorder="1" applyAlignment="1">
      <alignment horizontal="right" wrapText="1"/>
    </xf>
    <xf numFmtId="4" fontId="25" fillId="3" borderId="5" xfId="13" applyNumberFormat="1" applyFont="1" applyFill="1" applyBorder="1" applyAlignment="1">
      <alignment horizontal="right" wrapText="1"/>
    </xf>
    <xf numFmtId="3" fontId="25" fillId="0" borderId="6" xfId="13" applyNumberFormat="1" applyFont="1" applyBorder="1" applyAlignment="1">
      <alignment horizontal="center"/>
    </xf>
    <xf numFmtId="4" fontId="25" fillId="6" borderId="16" xfId="13" applyNumberFormat="1" applyFont="1" applyFill="1" applyBorder="1" applyAlignment="1">
      <alignment horizontal="right" wrapText="1"/>
    </xf>
    <xf numFmtId="4" fontId="25" fillId="6" borderId="6" xfId="13" applyNumberFormat="1" applyFont="1" applyFill="1" applyBorder="1" applyAlignment="1">
      <alignment horizontal="right" wrapText="1"/>
    </xf>
    <xf numFmtId="4" fontId="25" fillId="6" borderId="6" xfId="13" applyNumberFormat="1" applyFont="1" applyFill="1" applyBorder="1" applyAlignment="1">
      <alignment horizontal="center"/>
    </xf>
    <xf numFmtId="4" fontId="25" fillId="6" borderId="38" xfId="13" applyNumberFormat="1" applyFont="1" applyFill="1" applyBorder="1" applyAlignment="1">
      <alignment horizontal="right" wrapText="1"/>
    </xf>
    <xf numFmtId="4" fontId="25" fillId="0" borderId="16" xfId="13" applyNumberFormat="1" applyFont="1" applyBorder="1" applyAlignment="1">
      <alignment horizontal="center" wrapText="1"/>
    </xf>
    <xf numFmtId="4" fontId="25" fillId="0" borderId="16" xfId="13" applyNumberFormat="1" applyFont="1" applyBorder="1" applyAlignment="1">
      <alignment horizontal="right" wrapText="1"/>
    </xf>
    <xf numFmtId="3" fontId="25" fillId="3" borderId="16" xfId="13" applyNumberFormat="1" applyFont="1" applyFill="1" applyBorder="1" applyAlignment="1">
      <alignment horizontal="center" wrapText="1"/>
    </xf>
    <xf numFmtId="4" fontId="25" fillId="3" borderId="6" xfId="13" applyNumberFormat="1" applyFont="1" applyFill="1" applyBorder="1" applyAlignment="1">
      <alignment horizontal="right" wrapText="1"/>
    </xf>
    <xf numFmtId="4" fontId="25" fillId="5" borderId="6" xfId="13" applyNumberFormat="1" applyFont="1" applyFill="1" applyBorder="1" applyAlignment="1">
      <alignment horizontal="right" wrapText="1"/>
    </xf>
    <xf numFmtId="0" fontId="25" fillId="0" borderId="39" xfId="13" applyFont="1" applyBorder="1" applyAlignment="1">
      <alignment horizontal="center"/>
    </xf>
    <xf numFmtId="0" fontId="25" fillId="0" borderId="40" xfId="13" applyFont="1" applyBorder="1"/>
    <xf numFmtId="3" fontId="25" fillId="0" borderId="40" xfId="13" applyNumberFormat="1" applyFont="1" applyBorder="1" applyAlignment="1">
      <alignment horizontal="center"/>
    </xf>
    <xf numFmtId="4" fontId="25" fillId="0" borderId="40" xfId="13" applyNumberFormat="1" applyFont="1" applyBorder="1" applyAlignment="1">
      <alignment horizontal="right"/>
    </xf>
    <xf numFmtId="10" fontId="26" fillId="0" borderId="40" xfId="13" applyNumberFormat="1" applyFont="1" applyBorder="1" applyAlignment="1">
      <alignment horizontal="right" wrapText="1"/>
    </xf>
    <xf numFmtId="4" fontId="25" fillId="0" borderId="41" xfId="13" applyNumberFormat="1" applyFont="1" applyBorder="1" applyAlignment="1">
      <alignment horizontal="right" wrapText="1"/>
    </xf>
    <xf numFmtId="4" fontId="25" fillId="0" borderId="19" xfId="13" applyNumberFormat="1" applyFont="1" applyBorder="1" applyAlignment="1">
      <alignment horizontal="right" wrapText="1"/>
    </xf>
    <xf numFmtId="3" fontId="25" fillId="3" borderId="19" xfId="13" applyNumberFormat="1" applyFont="1" applyFill="1" applyBorder="1" applyAlignment="1">
      <alignment horizontal="center" wrapText="1"/>
    </xf>
    <xf numFmtId="4" fontId="25" fillId="0" borderId="26" xfId="13" applyNumberFormat="1" applyFont="1" applyBorder="1" applyAlignment="1">
      <alignment horizontal="right" wrapText="1"/>
    </xf>
    <xf numFmtId="3" fontId="25" fillId="3" borderId="26" xfId="13" applyNumberFormat="1" applyFont="1" applyFill="1" applyBorder="1" applyAlignment="1">
      <alignment horizontal="center" wrapText="1"/>
    </xf>
    <xf numFmtId="4" fontId="27" fillId="0" borderId="37" xfId="13" applyNumberFormat="1" applyFont="1" applyFill="1" applyBorder="1" applyAlignment="1">
      <alignment horizontal="right" vertical="center"/>
    </xf>
    <xf numFmtId="3" fontId="27" fillId="0" borderId="16" xfId="13" applyNumberFormat="1" applyFont="1" applyFill="1" applyBorder="1" applyAlignment="1">
      <alignment horizontal="center" vertical="center" wrapText="1"/>
    </xf>
    <xf numFmtId="4" fontId="25" fillId="0" borderId="0" xfId="13" applyNumberFormat="1" applyFont="1" applyFill="1"/>
    <xf numFmtId="4" fontId="25" fillId="5" borderId="37" xfId="13" applyNumberFormat="1" applyFont="1" applyFill="1" applyBorder="1" applyAlignment="1">
      <alignment horizontal="right" wrapText="1"/>
    </xf>
    <xf numFmtId="3" fontId="25" fillId="5" borderId="19" xfId="13" applyNumberFormat="1" applyFont="1" applyFill="1" applyBorder="1" applyAlignment="1">
      <alignment horizontal="center"/>
    </xf>
    <xf numFmtId="4" fontId="25" fillId="6" borderId="27" xfId="13" applyNumberFormat="1" applyFont="1" applyFill="1" applyBorder="1" applyAlignment="1">
      <alignment horizontal="right" wrapText="1"/>
    </xf>
    <xf numFmtId="0" fontId="25" fillId="7" borderId="18" xfId="13" applyFont="1" applyFill="1" applyBorder="1" applyAlignment="1">
      <alignment horizontal="center"/>
    </xf>
    <xf numFmtId="0" fontId="25" fillId="7" borderId="19" xfId="13" applyFont="1" applyFill="1" applyBorder="1" applyAlignment="1">
      <alignment horizontal="center"/>
    </xf>
    <xf numFmtId="4" fontId="25" fillId="7" borderId="34" xfId="13" applyNumberFormat="1" applyFont="1" applyFill="1" applyBorder="1" applyAlignment="1">
      <alignment horizontal="right"/>
    </xf>
    <xf numFmtId="0" fontId="25" fillId="0" borderId="6" xfId="13" applyFont="1" applyBorder="1"/>
    <xf numFmtId="4" fontId="25" fillId="0" borderId="19" xfId="13" applyNumberFormat="1" applyFont="1" applyBorder="1" applyAlignment="1">
      <alignment horizontal="center" wrapText="1"/>
    </xf>
    <xf numFmtId="0" fontId="25" fillId="7" borderId="5" xfId="13" applyFont="1" applyFill="1" applyBorder="1" applyAlignment="1">
      <alignment horizontal="center"/>
    </xf>
    <xf numFmtId="4" fontId="25" fillId="7" borderId="13" xfId="13" applyNumberFormat="1" applyFont="1" applyFill="1" applyBorder="1" applyAlignment="1">
      <alignment horizontal="right"/>
    </xf>
    <xf numFmtId="0" fontId="25" fillId="7" borderId="33" xfId="13" applyFont="1" applyFill="1" applyBorder="1" applyAlignment="1">
      <alignment horizontal="center"/>
    </xf>
    <xf numFmtId="0" fontId="25" fillId="7" borderId="30" xfId="13" applyFont="1" applyFill="1" applyBorder="1" applyAlignment="1">
      <alignment horizontal="center"/>
    </xf>
    <xf numFmtId="4" fontId="25" fillId="7" borderId="31" xfId="13" applyNumberFormat="1" applyFont="1" applyFill="1" applyBorder="1" applyAlignment="1">
      <alignment horizontal="right"/>
    </xf>
    <xf numFmtId="0" fontId="25" fillId="7" borderId="36" xfId="13" applyFont="1" applyFill="1" applyBorder="1" applyAlignment="1">
      <alignment horizontal="center"/>
    </xf>
    <xf numFmtId="0" fontId="25" fillId="7" borderId="27" xfId="13" applyFont="1" applyFill="1" applyBorder="1" applyAlignment="1">
      <alignment horizontal="center"/>
    </xf>
    <xf numFmtId="3" fontId="25" fillId="7" borderId="36" xfId="13" applyNumberFormat="1" applyFont="1" applyFill="1" applyBorder="1" applyAlignment="1">
      <alignment horizontal="center" wrapText="1"/>
    </xf>
    <xf numFmtId="3" fontId="25" fillId="7" borderId="19" xfId="13" applyNumberFormat="1" applyFont="1" applyFill="1" applyBorder="1" applyAlignment="1">
      <alignment horizontal="center" wrapText="1"/>
    </xf>
    <xf numFmtId="4" fontId="25" fillId="7" borderId="19" xfId="13" applyNumberFormat="1" applyFont="1" applyFill="1" applyBorder="1" applyAlignment="1">
      <alignment horizontal="right" wrapText="1"/>
    </xf>
    <xf numFmtId="4" fontId="25" fillId="7" borderId="34" xfId="13" applyNumberFormat="1" applyFont="1" applyFill="1" applyBorder="1" applyAlignment="1">
      <alignment horizontal="right" wrapText="1"/>
    </xf>
    <xf numFmtId="3" fontId="25" fillId="7" borderId="26" xfId="13" applyNumberFormat="1" applyFont="1" applyFill="1" applyBorder="1" applyAlignment="1">
      <alignment horizontal="center" wrapText="1"/>
    </xf>
    <xf numFmtId="3" fontId="25" fillId="7" borderId="5" xfId="13" applyNumberFormat="1" applyFont="1" applyFill="1" applyBorder="1" applyAlignment="1">
      <alignment horizontal="center" wrapText="1"/>
    </xf>
    <xf numFmtId="4" fontId="25" fillId="7" borderId="5" xfId="13" applyNumberFormat="1" applyFont="1" applyFill="1" applyBorder="1" applyAlignment="1">
      <alignment horizontal="right" wrapText="1"/>
    </xf>
    <xf numFmtId="4" fontId="25" fillId="7" borderId="13" xfId="13" applyNumberFormat="1" applyFont="1" applyFill="1" applyBorder="1" applyAlignment="1">
      <alignment horizontal="right" wrapText="1"/>
    </xf>
    <xf numFmtId="4" fontId="25" fillId="7" borderId="19" xfId="13" applyNumberFormat="1" applyFont="1" applyFill="1" applyBorder="1" applyAlignment="1">
      <alignment horizontal="right"/>
    </xf>
    <xf numFmtId="4" fontId="25" fillId="7" borderId="5" xfId="13" applyNumberFormat="1" applyFont="1" applyFill="1" applyBorder="1" applyAlignment="1">
      <alignment horizontal="right"/>
    </xf>
    <xf numFmtId="0" fontId="25" fillId="0" borderId="42" xfId="13" applyFont="1" applyBorder="1" applyAlignment="1">
      <alignment horizontal="center"/>
    </xf>
    <xf numFmtId="3" fontId="25" fillId="5" borderId="6" xfId="13" applyNumberFormat="1" applyFont="1" applyFill="1" applyBorder="1" applyAlignment="1">
      <alignment horizontal="center" wrapText="1"/>
    </xf>
    <xf numFmtId="0" fontId="25" fillId="7" borderId="16" xfId="13" applyFont="1" applyFill="1" applyBorder="1" applyAlignment="1">
      <alignment horizontal="center"/>
    </xf>
    <xf numFmtId="0" fontId="25" fillId="7" borderId="6" xfId="13" applyFont="1" applyFill="1" applyBorder="1" applyAlignment="1">
      <alignment horizontal="center"/>
    </xf>
    <xf numFmtId="4" fontId="25" fillId="7" borderId="37" xfId="13" applyNumberFormat="1" applyFont="1" applyFill="1" applyBorder="1" applyAlignment="1">
      <alignment horizontal="right"/>
    </xf>
    <xf numFmtId="4" fontId="25" fillId="6" borderId="30" xfId="13" applyNumberFormat="1" applyFont="1" applyFill="1" applyBorder="1" applyAlignment="1">
      <alignment horizontal="center"/>
    </xf>
    <xf numFmtId="0" fontId="25" fillId="8" borderId="30" xfId="13" applyFont="1" applyFill="1" applyBorder="1" applyAlignment="1">
      <alignment horizontal="center"/>
    </xf>
    <xf numFmtId="2" fontId="25" fillId="8" borderId="31" xfId="13" applyNumberFormat="1" applyFont="1" applyFill="1" applyBorder="1" applyAlignment="1">
      <alignment horizontal="right"/>
    </xf>
    <xf numFmtId="3" fontId="25" fillId="8" borderId="16" xfId="13" applyNumberFormat="1" applyFont="1" applyFill="1" applyBorder="1" applyAlignment="1">
      <alignment horizontal="center"/>
    </xf>
    <xf numFmtId="0" fontId="25" fillId="8" borderId="6" xfId="13" applyFont="1" applyFill="1" applyBorder="1" applyAlignment="1">
      <alignment horizontal="center"/>
    </xf>
    <xf numFmtId="2" fontId="25" fillId="8" borderId="37" xfId="13" applyNumberFormat="1" applyFont="1" applyFill="1" applyBorder="1" applyAlignment="1">
      <alignment horizontal="right"/>
    </xf>
    <xf numFmtId="0" fontId="5" fillId="8" borderId="5" xfId="13" applyFont="1" applyFill="1" applyBorder="1" applyAlignment="1">
      <alignment horizontal="center" vertical="center" wrapText="1"/>
    </xf>
    <xf numFmtId="0" fontId="5" fillId="8" borderId="13" xfId="13" applyFont="1" applyFill="1" applyBorder="1" applyAlignment="1">
      <alignment horizontal="center" vertical="center" wrapText="1"/>
    </xf>
    <xf numFmtId="0" fontId="25" fillId="8" borderId="19" xfId="13" applyFont="1" applyFill="1" applyBorder="1" applyAlignment="1">
      <alignment horizontal="center"/>
    </xf>
    <xf numFmtId="1" fontId="25" fillId="8" borderId="19" xfId="13" applyNumberFormat="1" applyFont="1" applyFill="1" applyBorder="1" applyAlignment="1">
      <alignment horizontal="center" wrapText="1"/>
    </xf>
    <xf numFmtId="4" fontId="25" fillId="8" borderId="19" xfId="13" applyNumberFormat="1" applyFont="1" applyFill="1" applyBorder="1" applyAlignment="1">
      <alignment horizontal="right" wrapText="1"/>
    </xf>
    <xf numFmtId="4" fontId="25" fillId="8" borderId="34" xfId="13" applyNumberFormat="1" applyFont="1" applyFill="1" applyBorder="1" applyAlignment="1">
      <alignment horizontal="right" wrapText="1"/>
    </xf>
    <xf numFmtId="3" fontId="25" fillId="8" borderId="36" xfId="13" applyNumberFormat="1" applyFont="1" applyFill="1" applyBorder="1" applyAlignment="1">
      <alignment horizontal="center"/>
    </xf>
    <xf numFmtId="0" fontId="25" fillId="8" borderId="5" xfId="13" applyFont="1" applyFill="1" applyBorder="1" applyAlignment="1">
      <alignment horizontal="center"/>
    </xf>
    <xf numFmtId="3" fontId="25" fillId="8" borderId="17" xfId="13" applyNumberFormat="1" applyFont="1" applyFill="1" applyBorder="1" applyAlignment="1">
      <alignment horizontal="center" wrapText="1"/>
    </xf>
    <xf numFmtId="4" fontId="25" fillId="8" borderId="17" xfId="13" applyNumberFormat="1" applyFont="1" applyFill="1" applyBorder="1" applyAlignment="1">
      <alignment horizontal="right" wrapText="1"/>
    </xf>
    <xf numFmtId="4" fontId="25" fillId="8" borderId="20" xfId="13" applyNumberFormat="1" applyFont="1" applyFill="1" applyBorder="1" applyAlignment="1">
      <alignment horizontal="right" wrapText="1"/>
    </xf>
    <xf numFmtId="3" fontId="25" fillId="8" borderId="19" xfId="13" applyNumberFormat="1" applyFont="1" applyFill="1" applyBorder="1" applyAlignment="1">
      <alignment horizontal="center"/>
    </xf>
    <xf numFmtId="4" fontId="25" fillId="8" borderId="19" xfId="13" applyNumberFormat="1" applyFont="1" applyFill="1" applyBorder="1" applyAlignment="1">
      <alignment horizontal="right"/>
    </xf>
    <xf numFmtId="4" fontId="25" fillId="8" borderId="34" xfId="13" applyNumberFormat="1" applyFont="1" applyFill="1" applyBorder="1" applyAlignment="1">
      <alignment horizontal="right"/>
    </xf>
    <xf numFmtId="3" fontId="25" fillId="8" borderId="5" xfId="13" applyNumberFormat="1" applyFont="1" applyFill="1" applyBorder="1" applyAlignment="1">
      <alignment horizontal="center" wrapText="1"/>
    </xf>
    <xf numFmtId="4" fontId="25" fillId="8" borderId="13" xfId="13" applyNumberFormat="1" applyFont="1" applyFill="1" applyBorder="1" applyAlignment="1">
      <alignment horizontal="right" wrapText="1"/>
    </xf>
    <xf numFmtId="3" fontId="27" fillId="4" borderId="25" xfId="13" applyNumberFormat="1" applyFont="1" applyFill="1" applyBorder="1" applyAlignment="1">
      <alignment horizontal="center" vertical="center"/>
    </xf>
    <xf numFmtId="4" fontId="27" fillId="4" borderId="25" xfId="13" applyNumberFormat="1" applyFont="1" applyFill="1" applyBorder="1" applyAlignment="1">
      <alignment horizontal="right" vertical="center"/>
    </xf>
    <xf numFmtId="10" fontId="28" fillId="4" borderId="25" xfId="13" applyNumberFormat="1" applyFont="1" applyFill="1" applyBorder="1" applyAlignment="1">
      <alignment horizontal="right" vertical="center" wrapText="1"/>
    </xf>
    <xf numFmtId="4" fontId="27" fillId="4" borderId="43" xfId="13" applyNumberFormat="1" applyFont="1" applyFill="1" applyBorder="1" applyAlignment="1">
      <alignment horizontal="right" vertical="center"/>
    </xf>
    <xf numFmtId="4" fontId="27" fillId="4" borderId="44" xfId="13" applyNumberFormat="1" applyFont="1" applyFill="1" applyBorder="1" applyAlignment="1">
      <alignment horizontal="right" vertical="center"/>
    </xf>
    <xf numFmtId="4" fontId="27" fillId="4" borderId="24" xfId="13" applyNumberFormat="1" applyFont="1" applyFill="1" applyBorder="1" applyAlignment="1">
      <alignment horizontal="right" vertical="center" wrapText="1"/>
    </xf>
    <xf numFmtId="0" fontId="27" fillId="0" borderId="25" xfId="13" applyFont="1" applyFill="1" applyBorder="1" applyAlignment="1">
      <alignment horizontal="center" vertical="center" wrapText="1"/>
    </xf>
    <xf numFmtId="4" fontId="27" fillId="4" borderId="45" xfId="13" applyNumberFormat="1" applyFont="1" applyFill="1" applyBorder="1" applyAlignment="1">
      <alignment horizontal="right" vertical="center" wrapText="1"/>
    </xf>
    <xf numFmtId="4" fontId="27" fillId="4" borderId="25" xfId="13" applyNumberFormat="1" applyFont="1" applyFill="1" applyBorder="1" applyAlignment="1">
      <alignment horizontal="center" vertical="center" wrapText="1"/>
    </xf>
    <xf numFmtId="3" fontId="27" fillId="4" borderId="25" xfId="13" applyNumberFormat="1" applyFont="1" applyFill="1" applyBorder="1" applyAlignment="1">
      <alignment horizontal="center" vertical="center" wrapText="1"/>
    </xf>
    <xf numFmtId="4" fontId="27" fillId="4" borderId="25" xfId="13" applyNumberFormat="1" applyFont="1" applyFill="1" applyBorder="1" applyAlignment="1">
      <alignment horizontal="right" vertical="center" wrapText="1"/>
    </xf>
    <xf numFmtId="4" fontId="27" fillId="4" borderId="43" xfId="13" applyNumberFormat="1" applyFont="1" applyFill="1" applyBorder="1" applyAlignment="1">
      <alignment horizontal="right" vertical="center" wrapText="1"/>
    </xf>
    <xf numFmtId="10" fontId="5" fillId="0" borderId="7" xfId="13" applyNumberFormat="1" applyFont="1" applyBorder="1" applyAlignment="1">
      <alignment vertical="center"/>
    </xf>
    <xf numFmtId="0" fontId="6" fillId="0" borderId="46" xfId="13" applyFont="1" applyBorder="1" applyAlignment="1">
      <alignment vertical="center"/>
    </xf>
    <xf numFmtId="4" fontId="6" fillId="0" borderId="14" xfId="13" applyNumberFormat="1" applyFont="1" applyBorder="1" applyAlignment="1">
      <alignment vertical="center"/>
    </xf>
    <xf numFmtId="0" fontId="6" fillId="0" borderId="10" xfId="13" applyFont="1" applyBorder="1" applyAlignment="1">
      <alignment horizontal="center" vertical="center"/>
    </xf>
    <xf numFmtId="0" fontId="3" fillId="0" borderId="9" xfId="13" applyFont="1" applyBorder="1" applyAlignment="1">
      <alignment horizontal="center" wrapText="1"/>
    </xf>
    <xf numFmtId="3" fontId="25" fillId="8" borderId="33" xfId="13" applyNumberFormat="1" applyFont="1" applyFill="1" applyBorder="1" applyAlignment="1">
      <alignment horizontal="center"/>
    </xf>
    <xf numFmtId="1" fontId="25" fillId="8" borderId="36" xfId="13" applyNumberFormat="1" applyFont="1" applyFill="1" applyBorder="1" applyAlignment="1">
      <alignment horizontal="center" wrapText="1"/>
    </xf>
    <xf numFmtId="3" fontId="25" fillId="8" borderId="26" xfId="13" applyNumberFormat="1" applyFont="1" applyFill="1" applyBorder="1" applyAlignment="1">
      <alignment horizontal="center"/>
    </xf>
    <xf numFmtId="3" fontId="25" fillId="8" borderId="21" xfId="13" applyNumberFormat="1" applyFont="1" applyFill="1" applyBorder="1" applyAlignment="1">
      <alignment horizontal="center" wrapText="1"/>
    </xf>
    <xf numFmtId="3" fontId="25" fillId="8" borderId="26" xfId="13" applyNumberFormat="1" applyFont="1" applyFill="1" applyBorder="1" applyAlignment="1">
      <alignment horizontal="center" wrapText="1"/>
    </xf>
    <xf numFmtId="3" fontId="27" fillId="4" borderId="24" xfId="13" applyNumberFormat="1" applyFont="1" applyFill="1" applyBorder="1" applyAlignment="1">
      <alignment horizontal="center" vertical="center" wrapText="1"/>
    </xf>
    <xf numFmtId="0" fontId="5" fillId="5" borderId="27" xfId="13" applyFont="1" applyFill="1" applyBorder="1" applyAlignment="1">
      <alignment horizontal="center" vertical="center" wrapText="1"/>
    </xf>
    <xf numFmtId="3" fontId="25" fillId="5" borderId="29" xfId="13" applyNumberFormat="1" applyFont="1" applyFill="1" applyBorder="1" applyAlignment="1">
      <alignment horizontal="center" wrapText="1"/>
    </xf>
    <xf numFmtId="3" fontId="25" fillId="5" borderId="42" xfId="13" applyNumberFormat="1" applyFont="1" applyFill="1" applyBorder="1" applyAlignment="1">
      <alignment horizontal="center" wrapText="1"/>
    </xf>
    <xf numFmtId="3" fontId="25" fillId="5" borderId="23" xfId="13" applyNumberFormat="1" applyFont="1" applyFill="1" applyBorder="1" applyAlignment="1">
      <alignment horizontal="center" wrapText="1"/>
    </xf>
    <xf numFmtId="3" fontId="25" fillId="5" borderId="18" xfId="13" applyNumberFormat="1" applyFont="1" applyFill="1" applyBorder="1" applyAlignment="1">
      <alignment horizontal="center" wrapText="1"/>
    </xf>
    <xf numFmtId="3" fontId="25" fillId="5" borderId="27" xfId="13" applyNumberFormat="1" applyFont="1" applyFill="1" applyBorder="1" applyAlignment="1">
      <alignment horizontal="center" wrapText="1"/>
    </xf>
    <xf numFmtId="3" fontId="27" fillId="0" borderId="42" xfId="13" applyNumberFormat="1" applyFont="1" applyFill="1" applyBorder="1" applyAlignment="1">
      <alignment horizontal="center" vertical="center" wrapText="1"/>
    </xf>
    <xf numFmtId="3" fontId="25" fillId="5" borderId="18" xfId="13" applyNumberFormat="1" applyFont="1" applyFill="1" applyBorder="1" applyAlignment="1">
      <alignment horizontal="center"/>
    </xf>
    <xf numFmtId="3" fontId="27" fillId="4" borderId="44" xfId="13" applyNumberFormat="1" applyFont="1" applyFill="1" applyBorder="1" applyAlignment="1">
      <alignment horizontal="center" vertical="center" wrapText="1"/>
    </xf>
    <xf numFmtId="3" fontId="6" fillId="0" borderId="47" xfId="13" applyNumberFormat="1" applyFont="1" applyBorder="1" applyAlignment="1">
      <alignment horizontal="center" vertical="center"/>
    </xf>
    <xf numFmtId="3" fontId="30" fillId="0" borderId="48" xfId="13" applyNumberFormat="1" applyFont="1" applyBorder="1" applyAlignment="1">
      <alignment horizontal="center"/>
    </xf>
    <xf numFmtId="4" fontId="30" fillId="0" borderId="48" xfId="13" applyNumberFormat="1" applyFont="1" applyBorder="1" applyAlignment="1">
      <alignment horizontal="right"/>
    </xf>
    <xf numFmtId="10" fontId="31" fillId="0" borderId="48" xfId="13" applyNumberFormat="1" applyFont="1" applyBorder="1" applyAlignment="1">
      <alignment horizontal="right" wrapText="1"/>
    </xf>
    <xf numFmtId="4" fontId="30" fillId="0" borderId="49" xfId="13" applyNumberFormat="1" applyFont="1" applyBorder="1" applyAlignment="1">
      <alignment horizontal="right" wrapText="1"/>
    </xf>
    <xf numFmtId="0" fontId="30" fillId="0" borderId="50" xfId="13" applyFont="1" applyBorder="1" applyAlignment="1">
      <alignment horizontal="center"/>
    </xf>
    <xf numFmtId="0" fontId="30" fillId="0" borderId="51" xfId="13" applyFont="1" applyBorder="1"/>
    <xf numFmtId="0" fontId="30" fillId="0" borderId="52" xfId="13" applyFont="1" applyBorder="1" applyAlignment="1">
      <alignment horizontal="center"/>
    </xf>
    <xf numFmtId="0" fontId="30" fillId="0" borderId="48" xfId="13" applyFont="1" applyBorder="1"/>
    <xf numFmtId="0" fontId="5" fillId="8" borderId="26" xfId="13" applyFont="1" applyFill="1" applyBorder="1" applyAlignment="1">
      <alignment horizontal="center" vertical="center" wrapText="1"/>
    </xf>
    <xf numFmtId="3" fontId="25" fillId="7" borderId="18" xfId="13" applyNumberFormat="1" applyFont="1" applyFill="1" applyBorder="1" applyAlignment="1">
      <alignment horizontal="center"/>
    </xf>
    <xf numFmtId="0" fontId="3" fillId="0" borderId="53" xfId="13" applyFont="1" applyBorder="1" applyAlignment="1">
      <alignment horizontal="center" vertical="center" wrapText="1"/>
    </xf>
    <xf numFmtId="3" fontId="25" fillId="3" borderId="30" xfId="13" applyNumberFormat="1" applyFont="1" applyFill="1" applyBorder="1" applyAlignment="1">
      <alignment horizontal="center" wrapText="1"/>
    </xf>
    <xf numFmtId="4" fontId="25" fillId="3" borderId="30" xfId="13" applyNumberFormat="1" applyFont="1" applyFill="1" applyBorder="1" applyAlignment="1">
      <alignment horizontal="right"/>
    </xf>
    <xf numFmtId="3" fontId="25" fillId="3" borderId="6" xfId="13" applyNumberFormat="1" applyFont="1" applyFill="1" applyBorder="1" applyAlignment="1">
      <alignment horizontal="center" wrapText="1"/>
    </xf>
    <xf numFmtId="4" fontId="25" fillId="3" borderId="6" xfId="13" applyNumberFormat="1" applyFont="1" applyFill="1" applyBorder="1" applyAlignment="1">
      <alignment horizontal="right"/>
    </xf>
    <xf numFmtId="4" fontId="25" fillId="3" borderId="19" xfId="13" applyNumberFormat="1" applyFont="1" applyFill="1" applyBorder="1" applyAlignment="1">
      <alignment horizontal="right"/>
    </xf>
    <xf numFmtId="4" fontId="25" fillId="3" borderId="5" xfId="13" applyNumberFormat="1" applyFont="1" applyFill="1" applyBorder="1" applyAlignment="1">
      <alignment horizontal="right"/>
    </xf>
    <xf numFmtId="4" fontId="25" fillId="3" borderId="17" xfId="13" applyNumberFormat="1" applyFont="1" applyFill="1" applyBorder="1" applyAlignment="1">
      <alignment horizontal="right"/>
    </xf>
    <xf numFmtId="4" fontId="25" fillId="3" borderId="31" xfId="13" applyNumberFormat="1" applyFont="1" applyFill="1" applyBorder="1" applyAlignment="1">
      <alignment horizontal="right"/>
    </xf>
    <xf numFmtId="4" fontId="25" fillId="3" borderId="37" xfId="13" applyNumberFormat="1" applyFont="1" applyFill="1" applyBorder="1" applyAlignment="1">
      <alignment horizontal="right"/>
    </xf>
    <xf numFmtId="4" fontId="25" fillId="3" borderId="20" xfId="13" applyNumberFormat="1" applyFont="1" applyFill="1" applyBorder="1" applyAlignment="1">
      <alignment horizontal="right"/>
    </xf>
    <xf numFmtId="4" fontId="25" fillId="3" borderId="34" xfId="13" applyNumberFormat="1" applyFont="1" applyFill="1" applyBorder="1" applyAlignment="1">
      <alignment horizontal="right"/>
    </xf>
    <xf numFmtId="4" fontId="25" fillId="3" borderId="13" xfId="13" applyNumberFormat="1" applyFont="1" applyFill="1" applyBorder="1" applyAlignment="1">
      <alignment horizontal="right"/>
    </xf>
    <xf numFmtId="4" fontId="6" fillId="0" borderId="2" xfId="13" applyNumberFormat="1" applyFont="1" applyBorder="1" applyAlignment="1">
      <alignment horizontal="center" vertical="center" wrapText="1"/>
    </xf>
    <xf numFmtId="3" fontId="25" fillId="7" borderId="19" xfId="13" applyNumberFormat="1" applyFont="1" applyFill="1" applyBorder="1" applyAlignment="1">
      <alignment horizontal="center"/>
    </xf>
    <xf numFmtId="0" fontId="8" fillId="0" borderId="0" xfId="13" applyFont="1" applyAlignment="1">
      <alignment horizontal="right"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4" fillId="0" borderId="54" xfId="0" applyFont="1" applyBorder="1" applyAlignment="1">
      <alignment vertical="center" wrapText="1"/>
    </xf>
    <xf numFmtId="4" fontId="25" fillId="8" borderId="19" xfId="13" applyNumberFormat="1" applyFont="1" applyFill="1" applyBorder="1" applyAlignment="1">
      <alignment horizontal="center"/>
    </xf>
    <xf numFmtId="4" fontId="25" fillId="8" borderId="13" xfId="13" applyNumberFormat="1" applyFont="1" applyFill="1" applyBorder="1" applyAlignment="1">
      <alignment horizontal="right"/>
    </xf>
    <xf numFmtId="0" fontId="33" fillId="0" borderId="55" xfId="0" applyFont="1" applyBorder="1" applyAlignment="1">
      <alignment horizontal="center" vertical="center"/>
    </xf>
    <xf numFmtId="0" fontId="28" fillId="7" borderId="26" xfId="0" applyFont="1" applyFill="1" applyBorder="1" applyAlignment="1">
      <alignment horizontal="center" vertical="center" wrapText="1"/>
    </xf>
    <xf numFmtId="0" fontId="28" fillId="5" borderId="26" xfId="0" applyFont="1" applyFill="1" applyBorder="1" applyAlignment="1">
      <alignment horizontal="center" vertical="center" wrapText="1"/>
    </xf>
    <xf numFmtId="3" fontId="32" fillId="7" borderId="56" xfId="0" applyNumberFormat="1" applyFont="1" applyFill="1" applyBorder="1" applyAlignment="1">
      <alignment horizontal="center" vertical="center"/>
    </xf>
    <xf numFmtId="3" fontId="32" fillId="7" borderId="57" xfId="0" applyNumberFormat="1" applyFont="1" applyFill="1" applyBorder="1" applyAlignment="1">
      <alignment horizontal="center" vertical="center"/>
    </xf>
    <xf numFmtId="0" fontId="28" fillId="8" borderId="26" xfId="0" applyFont="1" applyFill="1" applyBorder="1" applyAlignment="1">
      <alignment horizontal="center" vertical="center" wrapText="1"/>
    </xf>
    <xf numFmtId="0" fontId="28" fillId="8" borderId="5" xfId="0" applyFont="1" applyFill="1" applyBorder="1" applyAlignment="1">
      <alignment horizontal="center" vertical="center"/>
    </xf>
    <xf numFmtId="3" fontId="32" fillId="8" borderId="17" xfId="0" applyNumberFormat="1" applyFont="1" applyFill="1" applyBorder="1" applyAlignment="1">
      <alignment horizontal="center" vertical="center"/>
    </xf>
    <xf numFmtId="3" fontId="32" fillId="8" borderId="56" xfId="0" applyNumberFormat="1" applyFont="1" applyFill="1" applyBorder="1" applyAlignment="1">
      <alignment horizontal="center" vertical="center"/>
    </xf>
    <xf numFmtId="4" fontId="32" fillId="8" borderId="56" xfId="0" applyNumberFormat="1" applyFont="1" applyFill="1" applyBorder="1" applyAlignment="1">
      <alignment vertical="center"/>
    </xf>
    <xf numFmtId="3" fontId="32" fillId="8" borderId="19" xfId="0" applyNumberFormat="1" applyFont="1" applyFill="1" applyBorder="1" applyAlignment="1">
      <alignment horizontal="center" vertical="center"/>
    </xf>
    <xf numFmtId="3" fontId="32" fillId="8" borderId="57" xfId="0" applyNumberFormat="1" applyFont="1" applyFill="1" applyBorder="1" applyAlignment="1">
      <alignment horizontal="center" vertical="center"/>
    </xf>
    <xf numFmtId="4" fontId="32" fillId="8" borderId="57" xfId="0" applyNumberFormat="1" applyFont="1" applyFill="1" applyBorder="1" applyAlignment="1">
      <alignment vertical="center"/>
    </xf>
    <xf numFmtId="0" fontId="28" fillId="5" borderId="26" xfId="0" applyFont="1" applyFill="1" applyBorder="1" applyAlignment="1">
      <alignment horizontal="center" vertical="center"/>
    </xf>
    <xf numFmtId="3" fontId="32" fillId="5" borderId="21" xfId="0" applyNumberFormat="1" applyFont="1" applyFill="1" applyBorder="1" applyAlignment="1">
      <alignment horizontal="center" vertical="center"/>
    </xf>
    <xf numFmtId="4" fontId="32" fillId="5" borderId="21" xfId="0" applyNumberFormat="1" applyFont="1" applyFill="1" applyBorder="1" applyAlignment="1">
      <alignment vertical="center"/>
    </xf>
    <xf numFmtId="3" fontId="32" fillId="5" borderId="36" xfId="0" applyNumberFormat="1" applyFont="1" applyFill="1" applyBorder="1" applyAlignment="1">
      <alignment horizontal="center" vertical="center"/>
    </xf>
    <xf numFmtId="4" fontId="32" fillId="5" borderId="36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2" fillId="0" borderId="58" xfId="0" applyFont="1" applyBorder="1" applyAlignment="1">
      <alignment vertical="center" wrapText="1"/>
    </xf>
    <xf numFmtId="0" fontId="32" fillId="0" borderId="59" xfId="0" applyFont="1" applyBorder="1" applyAlignment="1">
      <alignment vertical="center" wrapText="1"/>
    </xf>
    <xf numFmtId="0" fontId="13" fillId="0" borderId="0" xfId="13" applyFont="1" applyAlignment="1">
      <alignment vertical="center"/>
    </xf>
    <xf numFmtId="0" fontId="14" fillId="0" borderId="0" xfId="13" applyFont="1" applyAlignment="1">
      <alignment horizontal="center" vertical="center"/>
    </xf>
    <xf numFmtId="0" fontId="4" fillId="0" borderId="0" xfId="13" applyFont="1" applyAlignment="1">
      <alignment vertical="center"/>
    </xf>
    <xf numFmtId="4" fontId="2" fillId="0" borderId="0" xfId="13" applyNumberFormat="1" applyFont="1"/>
    <xf numFmtId="4" fontId="2" fillId="0" borderId="0" xfId="13" applyNumberFormat="1" applyFont="1" applyBorder="1"/>
    <xf numFmtId="0" fontId="6" fillId="0" borderId="60" xfId="13" applyFont="1" applyBorder="1" applyAlignment="1">
      <alignment horizontal="center" vertical="center"/>
    </xf>
    <xf numFmtId="0" fontId="2" fillId="9" borderId="42" xfId="13" applyFont="1" applyFill="1" applyBorder="1" applyAlignment="1">
      <alignment horizontal="center" vertical="center" wrapText="1"/>
    </xf>
    <xf numFmtId="0" fontId="2" fillId="9" borderId="6" xfId="13" applyFont="1" applyFill="1" applyBorder="1" applyAlignment="1">
      <alignment horizontal="center" vertical="center" wrapText="1"/>
    </xf>
    <xf numFmtId="0" fontId="5" fillId="9" borderId="16" xfId="13" applyFont="1" applyFill="1" applyBorder="1" applyAlignment="1">
      <alignment horizontal="center" vertical="center" wrapText="1"/>
    </xf>
    <xf numFmtId="0" fontId="5" fillId="9" borderId="6" xfId="13" applyFont="1" applyFill="1" applyBorder="1" applyAlignment="1">
      <alignment horizontal="center" vertical="center" wrapText="1"/>
    </xf>
    <xf numFmtId="0" fontId="5" fillId="9" borderId="37" xfId="13" applyFont="1" applyFill="1" applyBorder="1" applyAlignment="1">
      <alignment horizontal="center" vertical="center" wrapText="1"/>
    </xf>
    <xf numFmtId="0" fontId="6" fillId="5" borderId="61" xfId="13" applyFont="1" applyFill="1" applyBorder="1" applyAlignment="1">
      <alignment horizontal="center" vertical="center" wrapText="1"/>
    </xf>
    <xf numFmtId="0" fontId="6" fillId="5" borderId="62" xfId="13" applyFont="1" applyFill="1" applyBorder="1" applyAlignment="1">
      <alignment horizontal="center" vertical="center" wrapText="1"/>
    </xf>
    <xf numFmtId="0" fontId="2" fillId="0" borderId="23" xfId="13" applyFont="1" applyBorder="1" applyAlignment="1">
      <alignment horizontal="center"/>
    </xf>
    <xf numFmtId="0" fontId="2" fillId="0" borderId="0" xfId="13" applyFont="1" applyAlignment="1"/>
    <xf numFmtId="3" fontId="2" fillId="9" borderId="17" xfId="13" applyNumberFormat="1" applyFont="1" applyFill="1" applyBorder="1" applyAlignment="1">
      <alignment horizontal="center" wrapText="1"/>
    </xf>
    <xf numFmtId="4" fontId="2" fillId="9" borderId="21" xfId="13" applyNumberFormat="1" applyFont="1" applyFill="1" applyBorder="1" applyAlignment="1">
      <alignment horizontal="center" wrapText="1"/>
    </xf>
    <xf numFmtId="4" fontId="2" fillId="9" borderId="17" xfId="13" applyNumberFormat="1" applyFont="1" applyFill="1" applyBorder="1" applyAlignment="1">
      <alignment horizontal="center" wrapText="1"/>
    </xf>
    <xf numFmtId="4" fontId="2" fillId="9" borderId="20" xfId="13" applyNumberFormat="1" applyFont="1" applyFill="1" applyBorder="1" applyAlignment="1">
      <alignment horizontal="center" wrapText="1"/>
    </xf>
    <xf numFmtId="1" fontId="2" fillId="8" borderId="23" xfId="13" applyNumberFormat="1" applyFont="1" applyFill="1" applyBorder="1" applyAlignment="1">
      <alignment horizontal="center" wrapText="1"/>
    </xf>
    <xf numFmtId="1" fontId="2" fillId="8" borderId="17" xfId="13" applyNumberFormat="1" applyFont="1" applyFill="1" applyBorder="1" applyAlignment="1">
      <alignment horizontal="center" wrapText="1"/>
    </xf>
    <xf numFmtId="4" fontId="2" fillId="8" borderId="21" xfId="13" applyNumberFormat="1" applyFont="1" applyFill="1" applyBorder="1" applyAlignment="1">
      <alignment horizontal="center" wrapText="1"/>
    </xf>
    <xf numFmtId="4" fontId="2" fillId="8" borderId="17" xfId="13" applyNumberFormat="1" applyFont="1" applyFill="1" applyBorder="1" applyAlignment="1">
      <alignment horizontal="center" wrapText="1"/>
    </xf>
    <xf numFmtId="1" fontId="2" fillId="5" borderId="63" xfId="13" applyNumberFormat="1" applyFont="1" applyFill="1" applyBorder="1" applyAlignment="1"/>
    <xf numFmtId="1" fontId="2" fillId="5" borderId="58" xfId="13" applyNumberFormat="1" applyFont="1" applyFill="1" applyBorder="1" applyAlignment="1"/>
    <xf numFmtId="4" fontId="2" fillId="5" borderId="58" xfId="13" applyNumberFormat="1" applyFont="1" applyFill="1" applyBorder="1" applyAlignment="1"/>
    <xf numFmtId="0" fontId="2" fillId="0" borderId="18" xfId="13" applyFont="1" applyBorder="1" applyAlignment="1">
      <alignment horizontal="center"/>
    </xf>
    <xf numFmtId="0" fontId="2" fillId="0" borderId="19" xfId="13" applyFont="1" applyBorder="1" applyAlignment="1"/>
    <xf numFmtId="3" fontId="2" fillId="0" borderId="19" xfId="13" applyNumberFormat="1" applyFont="1" applyBorder="1" applyAlignment="1">
      <alignment horizontal="center" wrapText="1"/>
    </xf>
    <xf numFmtId="4" fontId="2" fillId="0" borderId="34" xfId="13" applyNumberFormat="1" applyFont="1" applyBorder="1" applyAlignment="1">
      <alignment horizontal="center" wrapText="1"/>
    </xf>
    <xf numFmtId="3" fontId="2" fillId="9" borderId="23" xfId="13" applyNumberFormat="1" applyFont="1" applyFill="1" applyBorder="1" applyAlignment="1">
      <alignment horizontal="center"/>
    </xf>
    <xf numFmtId="3" fontId="2" fillId="9" borderId="17" xfId="13" applyNumberFormat="1" applyFont="1" applyFill="1" applyBorder="1" applyAlignment="1">
      <alignment horizontal="center"/>
    </xf>
    <xf numFmtId="1" fontId="2" fillId="5" borderId="64" xfId="13" applyNumberFormat="1" applyFont="1" applyFill="1" applyBorder="1" applyAlignment="1"/>
    <xf numFmtId="0" fontId="2" fillId="0" borderId="19" xfId="13" applyFont="1" applyBorder="1"/>
    <xf numFmtId="3" fontId="2" fillId="0" borderId="19" xfId="13" applyNumberFormat="1" applyFont="1" applyBorder="1" applyAlignment="1">
      <alignment horizontal="center"/>
    </xf>
    <xf numFmtId="3" fontId="2" fillId="9" borderId="65" xfId="13" applyNumberFormat="1" applyFont="1" applyFill="1" applyBorder="1" applyAlignment="1">
      <alignment horizontal="center"/>
    </xf>
    <xf numFmtId="4" fontId="2" fillId="9" borderId="5" xfId="13" applyNumberFormat="1" applyFont="1" applyFill="1" applyBorder="1" applyAlignment="1">
      <alignment horizontal="center" wrapText="1"/>
    </xf>
    <xf numFmtId="0" fontId="2" fillId="0" borderId="27" xfId="13" applyFont="1" applyBorder="1" applyAlignment="1">
      <alignment horizontal="center"/>
    </xf>
    <xf numFmtId="0" fontId="2" fillId="0" borderId="5" xfId="13" applyFont="1" applyFill="1" applyBorder="1"/>
    <xf numFmtId="3" fontId="2" fillId="0" borderId="5" xfId="13" applyNumberFormat="1" applyFont="1" applyBorder="1" applyAlignment="1">
      <alignment horizontal="center"/>
    </xf>
    <xf numFmtId="4" fontId="2" fillId="0" borderId="5" xfId="13" applyNumberFormat="1" applyFont="1" applyBorder="1" applyAlignment="1">
      <alignment horizontal="center"/>
    </xf>
    <xf numFmtId="4" fontId="2" fillId="0" borderId="55" xfId="13" applyNumberFormat="1" applyFont="1" applyBorder="1" applyAlignment="1">
      <alignment horizontal="center"/>
    </xf>
    <xf numFmtId="3" fontId="2" fillId="0" borderId="66" xfId="13" applyNumberFormat="1" applyFont="1" applyBorder="1" applyAlignment="1">
      <alignment horizontal="center"/>
    </xf>
    <xf numFmtId="3" fontId="2" fillId="0" borderId="0" xfId="13" applyNumberFormat="1" applyFont="1" applyBorder="1" applyAlignment="1">
      <alignment horizontal="center"/>
    </xf>
    <xf numFmtId="3" fontId="2" fillId="0" borderId="67" xfId="13" applyNumberFormat="1" applyFont="1" applyFill="1" applyBorder="1" applyAlignment="1">
      <alignment horizontal="center" wrapText="1"/>
    </xf>
    <xf numFmtId="3" fontId="2" fillId="0" borderId="68" xfId="13" applyNumberFormat="1" applyFont="1" applyFill="1" applyBorder="1" applyAlignment="1">
      <alignment horizontal="center" wrapText="1"/>
    </xf>
    <xf numFmtId="4" fontId="2" fillId="0" borderId="68" xfId="13" applyNumberFormat="1" applyFont="1" applyFill="1" applyBorder="1" applyAlignment="1">
      <alignment horizontal="center" wrapText="1"/>
    </xf>
    <xf numFmtId="4" fontId="2" fillId="0" borderId="69" xfId="13" applyNumberFormat="1" applyFont="1" applyFill="1" applyBorder="1" applyAlignment="1">
      <alignment horizontal="center"/>
    </xf>
    <xf numFmtId="1" fontId="2" fillId="0" borderId="39" xfId="13" applyNumberFormat="1" applyFont="1" applyFill="1" applyBorder="1" applyAlignment="1">
      <alignment horizontal="center"/>
    </xf>
    <xf numFmtId="1" fontId="2" fillId="0" borderId="40" xfId="13" applyNumberFormat="1" applyFont="1" applyFill="1" applyBorder="1" applyAlignment="1">
      <alignment horizontal="center"/>
    </xf>
    <xf numFmtId="4" fontId="2" fillId="0" borderId="26" xfId="13" applyNumberFormat="1" applyFont="1" applyFill="1" applyBorder="1" applyAlignment="1">
      <alignment horizontal="center"/>
    </xf>
    <xf numFmtId="4" fontId="2" fillId="0" borderId="6" xfId="13" applyNumberFormat="1" applyFont="1" applyFill="1" applyBorder="1" applyAlignment="1">
      <alignment horizontal="center"/>
    </xf>
    <xf numFmtId="4" fontId="2" fillId="0" borderId="6" xfId="13" applyNumberFormat="1" applyFont="1" applyFill="1" applyBorder="1" applyAlignment="1">
      <alignment horizontal="center" wrapText="1"/>
    </xf>
    <xf numFmtId="4" fontId="2" fillId="0" borderId="67" xfId="13" applyNumberFormat="1" applyFont="1" applyFill="1" applyBorder="1" applyAlignment="1">
      <alignment horizontal="center" wrapText="1"/>
    </xf>
    <xf numFmtId="4" fontId="2" fillId="0" borderId="70" xfId="13" applyNumberFormat="1" applyFont="1" applyFill="1" applyBorder="1" applyAlignment="1">
      <alignment horizontal="center" wrapText="1"/>
    </xf>
    <xf numFmtId="1" fontId="2" fillId="0" borderId="44" xfId="13" applyNumberFormat="1" applyFont="1" applyFill="1" applyBorder="1" applyAlignment="1">
      <alignment horizontal="center" wrapText="1"/>
    </xf>
    <xf numFmtId="1" fontId="2" fillId="0" borderId="25" xfId="13" applyNumberFormat="1" applyFont="1" applyFill="1" applyBorder="1" applyAlignment="1">
      <alignment horizontal="center" wrapText="1"/>
    </xf>
    <xf numFmtId="3" fontId="2" fillId="0" borderId="26" xfId="13" applyNumberFormat="1" applyFont="1" applyFill="1" applyBorder="1" applyAlignment="1">
      <alignment horizontal="center"/>
    </xf>
    <xf numFmtId="3" fontId="2" fillId="0" borderId="6" xfId="13" applyNumberFormat="1" applyFont="1" applyFill="1" applyBorder="1" applyAlignment="1">
      <alignment horizontal="center"/>
    </xf>
    <xf numFmtId="3" fontId="2" fillId="0" borderId="5" xfId="13" applyNumberFormat="1" applyFont="1" applyFill="1" applyBorder="1" applyAlignment="1">
      <alignment horizontal="center"/>
    </xf>
    <xf numFmtId="4" fontId="2" fillId="0" borderId="37" xfId="13" applyNumberFormat="1" applyFont="1" applyFill="1" applyBorder="1" applyAlignment="1">
      <alignment horizontal="center" wrapText="1"/>
    </xf>
    <xf numFmtId="1" fontId="2" fillId="0" borderId="9" xfId="13" applyNumberFormat="1" applyFont="1" applyFill="1" applyBorder="1" applyAlignment="1">
      <alignment horizontal="center" wrapText="1"/>
    </xf>
    <xf numFmtId="1" fontId="2" fillId="0" borderId="16" xfId="13" applyNumberFormat="1" applyFont="1" applyFill="1" applyBorder="1" applyAlignment="1">
      <alignment horizontal="center" wrapText="1"/>
    </xf>
    <xf numFmtId="1" fontId="2" fillId="0" borderId="71" xfId="13" applyNumberFormat="1" applyFont="1" applyFill="1" applyBorder="1"/>
    <xf numFmtId="1" fontId="2" fillId="0" borderId="72" xfId="13" applyNumberFormat="1" applyFont="1" applyFill="1" applyBorder="1"/>
    <xf numFmtId="4" fontId="2" fillId="0" borderId="72" xfId="13" applyNumberFormat="1" applyFont="1" applyFill="1" applyBorder="1"/>
    <xf numFmtId="4" fontId="6" fillId="0" borderId="47" xfId="13" applyNumberFormat="1" applyFont="1" applyBorder="1" applyAlignment="1">
      <alignment horizontal="center" vertical="center"/>
    </xf>
    <xf numFmtId="4" fontId="6" fillId="0" borderId="7" xfId="13" applyNumberFormat="1" applyFont="1" applyBorder="1" applyAlignment="1">
      <alignment horizontal="left" vertical="center"/>
    </xf>
    <xf numFmtId="4" fontId="6" fillId="0" borderId="7" xfId="13" applyNumberFormat="1" applyFont="1" applyBorder="1" applyAlignment="1">
      <alignment horizontal="center" vertical="center"/>
    </xf>
    <xf numFmtId="4" fontId="6" fillId="0" borderId="73" xfId="13" applyNumberFormat="1" applyFont="1" applyBorder="1" applyAlignment="1">
      <alignment horizontal="center" vertical="center"/>
    </xf>
    <xf numFmtId="3" fontId="6" fillId="9" borderId="47" xfId="13" applyNumberFormat="1" applyFont="1" applyFill="1" applyBorder="1" applyAlignment="1">
      <alignment horizontal="center" vertical="center"/>
    </xf>
    <xf numFmtId="4" fontId="6" fillId="9" borderId="47" xfId="13" applyNumberFormat="1" applyFont="1" applyFill="1" applyBorder="1" applyAlignment="1">
      <alignment horizontal="center" vertical="center"/>
    </xf>
    <xf numFmtId="4" fontId="6" fillId="9" borderId="74" xfId="13" applyNumberFormat="1" applyFont="1" applyFill="1" applyBorder="1" applyAlignment="1">
      <alignment horizontal="center" vertical="center"/>
    </xf>
    <xf numFmtId="3" fontId="6" fillId="10" borderId="47" xfId="13" applyNumberFormat="1" applyFont="1" applyFill="1" applyBorder="1" applyAlignment="1">
      <alignment horizontal="center" vertical="center"/>
    </xf>
    <xf numFmtId="4" fontId="6" fillId="10" borderId="47" xfId="13" applyNumberFormat="1" applyFont="1" applyFill="1" applyBorder="1" applyAlignment="1">
      <alignment horizontal="center" vertical="center"/>
    </xf>
    <xf numFmtId="4" fontId="6" fillId="10" borderId="7" xfId="13" applyNumberFormat="1" applyFont="1" applyFill="1" applyBorder="1" applyAlignment="1">
      <alignment horizontal="center" vertical="center"/>
    </xf>
    <xf numFmtId="4" fontId="6" fillId="10" borderId="14" xfId="13" applyNumberFormat="1" applyFont="1" applyFill="1" applyBorder="1" applyAlignment="1">
      <alignment horizontal="center" vertical="center"/>
    </xf>
    <xf numFmtId="1" fontId="6" fillId="8" borderId="14" xfId="13" applyNumberFormat="1" applyFont="1" applyFill="1" applyBorder="1" applyAlignment="1">
      <alignment horizontal="center" vertical="center"/>
    </xf>
    <xf numFmtId="4" fontId="6" fillId="8" borderId="14" xfId="13" applyNumberFormat="1" applyFont="1" applyFill="1" applyBorder="1" applyAlignment="1">
      <alignment horizontal="center" vertical="center"/>
    </xf>
    <xf numFmtId="4" fontId="6" fillId="8" borderId="7" xfId="13" applyNumberFormat="1" applyFont="1" applyFill="1" applyBorder="1" applyAlignment="1">
      <alignment horizontal="center" vertical="center"/>
    </xf>
    <xf numFmtId="1" fontId="6" fillId="11" borderId="14" xfId="13" applyNumberFormat="1" applyFont="1" applyFill="1" applyBorder="1" applyAlignment="1">
      <alignment horizontal="center" vertical="center"/>
    </xf>
    <xf numFmtId="4" fontId="6" fillId="11" borderId="14" xfId="13" applyNumberFormat="1" applyFont="1" applyFill="1" applyBorder="1" applyAlignment="1">
      <alignment horizontal="center" vertical="center"/>
    </xf>
    <xf numFmtId="1" fontId="6" fillId="5" borderId="75" xfId="13" applyNumberFormat="1" applyFont="1" applyFill="1" applyBorder="1" applyAlignment="1">
      <alignment horizontal="right" vertical="center"/>
    </xf>
    <xf numFmtId="1" fontId="6" fillId="5" borderId="76" xfId="13" applyNumberFormat="1" applyFont="1" applyFill="1" applyBorder="1" applyAlignment="1">
      <alignment horizontal="right" vertical="center"/>
    </xf>
    <xf numFmtId="4" fontId="6" fillId="5" borderId="76" xfId="13" applyNumberFormat="1" applyFont="1" applyFill="1" applyBorder="1" applyAlignment="1">
      <alignment horizontal="right" vertical="center"/>
    </xf>
    <xf numFmtId="4" fontId="6" fillId="0" borderId="0" xfId="13" applyNumberFormat="1" applyFont="1" applyAlignment="1">
      <alignment horizontal="center" vertical="center"/>
    </xf>
    <xf numFmtId="0" fontId="2" fillId="0" borderId="0" xfId="13" applyFont="1" applyAlignment="1">
      <alignment wrapText="1"/>
    </xf>
    <xf numFmtId="0" fontId="16" fillId="0" borderId="0" xfId="13" applyFont="1"/>
    <xf numFmtId="4" fontId="16" fillId="0" borderId="0" xfId="13" applyNumberFormat="1" applyFont="1"/>
    <xf numFmtId="0" fontId="8" fillId="0" borderId="0" xfId="13" applyFont="1" applyAlignment="1">
      <alignment vertical="center"/>
    </xf>
    <xf numFmtId="4" fontId="0" fillId="0" borderId="0" xfId="0" applyNumberFormat="1"/>
    <xf numFmtId="0" fontId="6" fillId="5" borderId="62" xfId="13" applyFont="1" applyFill="1" applyBorder="1" applyAlignment="1">
      <alignment horizontal="center" vertical="center"/>
    </xf>
    <xf numFmtId="0" fontId="2" fillId="0" borderId="17" xfId="13" applyFont="1" applyBorder="1" applyAlignment="1"/>
    <xf numFmtId="3" fontId="2" fillId="0" borderId="21" xfId="13" applyNumberFormat="1" applyFont="1" applyBorder="1" applyAlignment="1">
      <alignment horizontal="center" wrapText="1"/>
    </xf>
    <xf numFmtId="3" fontId="2" fillId="0" borderId="17" xfId="13" applyNumberFormat="1" applyFont="1" applyBorder="1" applyAlignment="1">
      <alignment horizontal="center" wrapText="1"/>
    </xf>
    <xf numFmtId="3" fontId="2" fillId="9" borderId="21" xfId="13" applyNumberFormat="1" applyFont="1" applyFill="1" applyBorder="1" applyAlignment="1">
      <alignment horizontal="center" wrapText="1"/>
    </xf>
    <xf numFmtId="3" fontId="2" fillId="0" borderId="36" xfId="13" applyNumberFormat="1" applyFont="1" applyBorder="1" applyAlignment="1">
      <alignment horizontal="center"/>
    </xf>
    <xf numFmtId="1" fontId="2" fillId="5" borderId="59" xfId="13" applyNumberFormat="1" applyFont="1" applyFill="1" applyBorder="1" applyAlignment="1"/>
    <xf numFmtId="4" fontId="2" fillId="5" borderId="59" xfId="13" applyNumberFormat="1" applyFont="1" applyFill="1" applyBorder="1" applyAlignment="1"/>
    <xf numFmtId="0" fontId="2" fillId="0" borderId="5" xfId="13" applyFont="1" applyBorder="1"/>
    <xf numFmtId="3" fontId="2" fillId="9" borderId="5" xfId="13" applyNumberFormat="1" applyFont="1" applyFill="1" applyBorder="1" applyAlignment="1">
      <alignment horizontal="center" wrapText="1"/>
    </xf>
    <xf numFmtId="4" fontId="2" fillId="8" borderId="25" xfId="13" applyNumberFormat="1" applyFont="1" applyFill="1" applyBorder="1" applyAlignment="1">
      <alignment horizontal="center" wrapText="1"/>
    </xf>
    <xf numFmtId="0" fontId="6" fillId="0" borderId="77" xfId="13" applyFont="1" applyBorder="1" applyAlignment="1">
      <alignment horizontal="center" vertical="center"/>
    </xf>
    <xf numFmtId="4" fontId="2" fillId="9" borderId="19" xfId="13" applyNumberFormat="1" applyFont="1" applyFill="1" applyBorder="1" applyAlignment="1">
      <alignment horizontal="center"/>
    </xf>
    <xf numFmtId="4" fontId="2" fillId="9" borderId="34" xfId="13" applyNumberFormat="1" applyFont="1" applyFill="1" applyBorder="1" applyAlignment="1">
      <alignment horizontal="center"/>
    </xf>
    <xf numFmtId="0" fontId="2" fillId="0" borderId="2" xfId="13" applyFont="1" applyBorder="1"/>
    <xf numFmtId="3" fontId="2" fillId="0" borderId="2" xfId="13" applyNumberFormat="1" applyFont="1" applyBorder="1" applyAlignment="1">
      <alignment horizontal="center"/>
    </xf>
    <xf numFmtId="3" fontId="2" fillId="0" borderId="2" xfId="13" applyNumberFormat="1" applyFont="1" applyFill="1" applyBorder="1" applyAlignment="1">
      <alignment horizontal="center"/>
    </xf>
    <xf numFmtId="4" fontId="2" fillId="0" borderId="2" xfId="13" applyNumberFormat="1" applyFont="1" applyFill="1" applyBorder="1" applyAlignment="1">
      <alignment horizontal="center"/>
    </xf>
    <xf numFmtId="4" fontId="2" fillId="0" borderId="9" xfId="13" applyNumberFormat="1" applyFont="1" applyFill="1" applyBorder="1" applyAlignment="1">
      <alignment horizontal="center" wrapText="1"/>
    </xf>
    <xf numFmtId="4" fontId="2" fillId="0" borderId="2" xfId="13" applyNumberFormat="1" applyFont="1" applyFill="1" applyBorder="1" applyAlignment="1">
      <alignment horizontal="center" wrapText="1"/>
    </xf>
    <xf numFmtId="4" fontId="2" fillId="0" borderId="4" xfId="13" applyNumberFormat="1" applyFont="1" applyFill="1" applyBorder="1" applyAlignment="1">
      <alignment horizontal="center"/>
    </xf>
    <xf numFmtId="1" fontId="2" fillId="0" borderId="61" xfId="13" applyNumberFormat="1" applyFont="1" applyFill="1" applyBorder="1" applyAlignment="1"/>
    <xf numFmtId="1" fontId="2" fillId="0" borderId="62" xfId="13" applyNumberFormat="1" applyFont="1" applyFill="1" applyBorder="1" applyAlignment="1"/>
    <xf numFmtId="4" fontId="2" fillId="0" borderId="62" xfId="13" applyNumberFormat="1" applyFont="1" applyFill="1" applyBorder="1" applyAlignment="1"/>
    <xf numFmtId="0" fontId="6" fillId="0" borderId="27" xfId="13" applyFont="1" applyBorder="1" applyAlignment="1">
      <alignment horizontal="center"/>
    </xf>
    <xf numFmtId="0" fontId="6" fillId="0" borderId="6" xfId="13" applyFont="1" applyFill="1" applyBorder="1"/>
    <xf numFmtId="3" fontId="6" fillId="0" borderId="17" xfId="13" applyNumberFormat="1" applyFont="1" applyBorder="1" applyAlignment="1">
      <alignment horizontal="center"/>
    </xf>
    <xf numFmtId="3" fontId="6" fillId="0" borderId="0" xfId="13" applyNumberFormat="1" applyFont="1" applyBorder="1" applyAlignment="1">
      <alignment horizontal="center"/>
    </xf>
    <xf numFmtId="3" fontId="6" fillId="0" borderId="68" xfId="13" applyNumberFormat="1" applyFont="1" applyFill="1" applyBorder="1" applyAlignment="1">
      <alignment horizontal="center" wrapText="1"/>
    </xf>
    <xf numFmtId="4" fontId="6" fillId="0" borderId="68" xfId="13" applyNumberFormat="1" applyFont="1" applyFill="1" applyBorder="1" applyAlignment="1">
      <alignment horizontal="center" wrapText="1"/>
    </xf>
    <xf numFmtId="4" fontId="6" fillId="0" borderId="70" xfId="13" applyNumberFormat="1" applyFont="1" applyFill="1" applyBorder="1" applyAlignment="1">
      <alignment horizontal="center"/>
    </xf>
    <xf numFmtId="3" fontId="6" fillId="0" borderId="78" xfId="13" applyNumberFormat="1" applyFont="1" applyFill="1" applyBorder="1" applyAlignment="1">
      <alignment horizontal="center"/>
    </xf>
    <xf numFmtId="3" fontId="6" fillId="0" borderId="79" xfId="13" applyNumberFormat="1" applyFont="1" applyFill="1" applyBorder="1" applyAlignment="1">
      <alignment horizontal="center"/>
    </xf>
    <xf numFmtId="4" fontId="6" fillId="0" borderId="67" xfId="13" applyNumberFormat="1" applyFont="1" applyFill="1" applyBorder="1" applyAlignment="1">
      <alignment horizontal="center"/>
    </xf>
    <xf numFmtId="4" fontId="6" fillId="0" borderId="78" xfId="13" applyNumberFormat="1" applyFont="1" applyFill="1" applyBorder="1" applyAlignment="1">
      <alignment horizontal="center"/>
    </xf>
    <xf numFmtId="4" fontId="6" fillId="0" borderId="67" xfId="13" applyNumberFormat="1" applyFont="1" applyFill="1" applyBorder="1" applyAlignment="1">
      <alignment horizontal="center" wrapText="1"/>
    </xf>
    <xf numFmtId="4" fontId="6" fillId="0" borderId="6" xfId="13" applyNumberFormat="1" applyFont="1" applyFill="1" applyBorder="1" applyAlignment="1">
      <alignment horizontal="center" wrapText="1"/>
    </xf>
    <xf numFmtId="4" fontId="6" fillId="0" borderId="80" xfId="13" applyNumberFormat="1" applyFont="1" applyFill="1" applyBorder="1" applyAlignment="1">
      <alignment horizontal="center"/>
    </xf>
    <xf numFmtId="3" fontId="6" fillId="0" borderId="16" xfId="13" applyNumberFormat="1" applyFont="1" applyFill="1" applyBorder="1" applyAlignment="1">
      <alignment horizontal="center"/>
    </xf>
    <xf numFmtId="3" fontId="6" fillId="0" borderId="6" xfId="13" applyNumberFormat="1" applyFont="1" applyFill="1" applyBorder="1" applyAlignment="1">
      <alignment horizontal="center"/>
    </xf>
    <xf numFmtId="3" fontId="6" fillId="0" borderId="67" xfId="13" applyNumberFormat="1" applyFont="1" applyFill="1" applyBorder="1" applyAlignment="1">
      <alignment horizontal="center"/>
    </xf>
    <xf numFmtId="1" fontId="6" fillId="0" borderId="72" xfId="13" applyNumberFormat="1" applyFont="1" applyFill="1" applyBorder="1"/>
    <xf numFmtId="1" fontId="6" fillId="0" borderId="76" xfId="13" applyNumberFormat="1" applyFont="1" applyFill="1" applyBorder="1"/>
    <xf numFmtId="4" fontId="6" fillId="0" borderId="76" xfId="13" applyNumberFormat="1" applyFont="1" applyFill="1" applyBorder="1"/>
    <xf numFmtId="4" fontId="6" fillId="0" borderId="72" xfId="13" applyNumberFormat="1" applyFont="1" applyFill="1" applyBorder="1" applyAlignment="1">
      <alignment horizontal="right"/>
    </xf>
    <xf numFmtId="0" fontId="6" fillId="0" borderId="0" xfId="13" applyFont="1"/>
    <xf numFmtId="0" fontId="2" fillId="0" borderId="30" xfId="13" applyFont="1" applyBorder="1" applyAlignment="1">
      <alignment horizontal="center"/>
    </xf>
    <xf numFmtId="0" fontId="6" fillId="4" borderId="15" xfId="13" applyFont="1" applyFill="1" applyBorder="1" applyAlignment="1">
      <alignment vertical="center"/>
    </xf>
    <xf numFmtId="0" fontId="6" fillId="4" borderId="2" xfId="13" applyFont="1" applyFill="1" applyBorder="1" applyAlignment="1">
      <alignment vertical="center"/>
    </xf>
    <xf numFmtId="3" fontId="6" fillId="4" borderId="2" xfId="13" applyNumberFormat="1" applyFont="1" applyFill="1" applyBorder="1" applyAlignment="1">
      <alignment horizontal="center" vertical="center"/>
    </xf>
    <xf numFmtId="4" fontId="6" fillId="4" borderId="2" xfId="13" applyNumberFormat="1" applyFont="1" applyFill="1" applyBorder="1" applyAlignment="1">
      <alignment horizontal="center" vertical="center"/>
    </xf>
    <xf numFmtId="3" fontId="6" fillId="4" borderId="15" xfId="13" applyNumberFormat="1" applyFont="1" applyFill="1" applyBorder="1" applyAlignment="1">
      <alignment horizontal="center" vertical="center"/>
    </xf>
    <xf numFmtId="4" fontId="6" fillId="4" borderId="4" xfId="13" applyNumberFormat="1" applyFont="1" applyFill="1" applyBorder="1" applyAlignment="1">
      <alignment horizontal="center" vertical="center"/>
    </xf>
    <xf numFmtId="3" fontId="6" fillId="4" borderId="9" xfId="13" applyNumberFormat="1" applyFont="1" applyFill="1" applyBorder="1" applyAlignment="1">
      <alignment horizontal="center" vertical="center"/>
    </xf>
    <xf numFmtId="1" fontId="6" fillId="4" borderId="61" xfId="13" applyNumberFormat="1" applyFont="1" applyFill="1" applyBorder="1" applyAlignment="1">
      <alignment horizontal="right" vertical="center"/>
    </xf>
    <xf numFmtId="1" fontId="6" fillId="4" borderId="62" xfId="13" applyNumberFormat="1" applyFont="1" applyFill="1" applyBorder="1" applyAlignment="1">
      <alignment horizontal="right" vertical="center"/>
    </xf>
    <xf numFmtId="4" fontId="6" fillId="4" borderId="62" xfId="13" applyNumberFormat="1" applyFont="1" applyFill="1" applyBorder="1" applyAlignment="1">
      <alignment horizontal="right" vertical="center"/>
    </xf>
    <xf numFmtId="0" fontId="6" fillId="4" borderId="0" xfId="13" applyFont="1" applyFill="1" applyAlignment="1">
      <alignment vertical="center"/>
    </xf>
    <xf numFmtId="0" fontId="5" fillId="5" borderId="61" xfId="13" applyFont="1" applyFill="1" applyBorder="1" applyAlignment="1">
      <alignment horizontal="center" vertical="center" wrapText="1"/>
    </xf>
    <xf numFmtId="0" fontId="5" fillId="5" borderId="62" xfId="13" applyFont="1" applyFill="1" applyBorder="1" applyAlignment="1">
      <alignment horizontal="center" vertical="center" wrapText="1"/>
    </xf>
    <xf numFmtId="0" fontId="5" fillId="5" borderId="62" xfId="13" applyFont="1" applyFill="1" applyBorder="1" applyAlignment="1">
      <alignment horizontal="center" vertical="center"/>
    </xf>
    <xf numFmtId="4" fontId="2" fillId="0" borderId="31" xfId="13" applyNumberFormat="1" applyFont="1" applyBorder="1" applyAlignment="1">
      <alignment horizontal="center"/>
    </xf>
    <xf numFmtId="4" fontId="2" fillId="0" borderId="34" xfId="13" applyNumberFormat="1" applyFont="1" applyBorder="1" applyAlignment="1">
      <alignment horizontal="center"/>
    </xf>
    <xf numFmtId="3" fontId="2" fillId="9" borderId="21" xfId="13" applyNumberFormat="1" applyFont="1" applyFill="1" applyBorder="1" applyAlignment="1">
      <alignment horizontal="center"/>
    </xf>
    <xf numFmtId="0" fontId="6" fillId="4" borderId="81" xfId="13" applyFont="1" applyFill="1" applyBorder="1" applyAlignment="1">
      <alignment vertical="center"/>
    </xf>
    <xf numFmtId="0" fontId="6" fillId="4" borderId="9" xfId="13" applyFont="1" applyFill="1" applyBorder="1" applyAlignment="1">
      <alignment vertical="center"/>
    </xf>
    <xf numFmtId="4" fontId="6" fillId="4" borderId="4" xfId="13" applyNumberFormat="1" applyFont="1" applyFill="1" applyBorder="1" applyAlignment="1">
      <alignment horizontal="right" vertical="center"/>
    </xf>
    <xf numFmtId="0" fontId="5" fillId="5" borderId="26" xfId="13" applyFont="1" applyFill="1" applyBorder="1" applyAlignment="1">
      <alignment horizontal="center" vertical="center" wrapText="1"/>
    </xf>
    <xf numFmtId="1" fontId="2" fillId="5" borderId="23" xfId="13" applyNumberFormat="1" applyFont="1" applyFill="1" applyBorder="1" applyAlignment="1">
      <alignment horizontal="center" wrapText="1"/>
    </xf>
    <xf numFmtId="1" fontId="2" fillId="5" borderId="17" xfId="13" applyNumberFormat="1" applyFont="1" applyFill="1" applyBorder="1" applyAlignment="1">
      <alignment horizontal="center" wrapText="1"/>
    </xf>
    <xf numFmtId="4" fontId="2" fillId="5" borderId="21" xfId="13" applyNumberFormat="1" applyFont="1" applyFill="1" applyBorder="1" applyAlignment="1">
      <alignment horizontal="center" wrapText="1"/>
    </xf>
    <xf numFmtId="4" fontId="2" fillId="5" borderId="17" xfId="13" applyNumberFormat="1" applyFont="1" applyFill="1" applyBorder="1" applyAlignment="1">
      <alignment horizontal="center" wrapText="1"/>
    </xf>
    <xf numFmtId="4" fontId="2" fillId="5" borderId="20" xfId="13" applyNumberFormat="1" applyFont="1" applyFill="1" applyBorder="1" applyAlignment="1">
      <alignment horizontal="right" wrapText="1"/>
    </xf>
    <xf numFmtId="1" fontId="2" fillId="5" borderId="23" xfId="13" applyNumberFormat="1" applyFont="1" applyFill="1" applyBorder="1" applyAlignment="1">
      <alignment horizontal="center"/>
    </xf>
    <xf numFmtId="1" fontId="2" fillId="5" borderId="17" xfId="13" applyNumberFormat="1" applyFont="1" applyFill="1" applyBorder="1" applyAlignment="1">
      <alignment horizontal="center"/>
    </xf>
    <xf numFmtId="0" fontId="5" fillId="8" borderId="27" xfId="13" applyFont="1" applyFill="1" applyBorder="1" applyAlignment="1">
      <alignment horizontal="center" vertical="center" wrapText="1"/>
    </xf>
    <xf numFmtId="1" fontId="2" fillId="8" borderId="23" xfId="13" applyNumberFormat="1" applyFont="1" applyFill="1" applyBorder="1" applyAlignment="1">
      <alignment horizontal="center" wrapText="1"/>
    </xf>
    <xf numFmtId="1" fontId="2" fillId="8" borderId="17" xfId="13" applyNumberFormat="1" applyFont="1" applyFill="1" applyBorder="1" applyAlignment="1">
      <alignment horizontal="center" wrapText="1"/>
    </xf>
    <xf numFmtId="4" fontId="2" fillId="8" borderId="21" xfId="13" applyNumberFormat="1" applyFont="1" applyFill="1" applyBorder="1" applyAlignment="1">
      <alignment horizontal="center" wrapText="1"/>
    </xf>
    <xf numFmtId="4" fontId="2" fillId="8" borderId="17" xfId="13" applyNumberFormat="1" applyFont="1" applyFill="1" applyBorder="1" applyAlignment="1">
      <alignment horizontal="center" wrapText="1"/>
    </xf>
    <xf numFmtId="3" fontId="2" fillId="8" borderId="18" xfId="13" applyNumberFormat="1" applyFont="1" applyFill="1" applyBorder="1" applyAlignment="1">
      <alignment horizontal="center" wrapText="1"/>
    </xf>
    <xf numFmtId="3" fontId="2" fillId="8" borderId="19" xfId="13" applyNumberFormat="1" applyFont="1" applyFill="1" applyBorder="1" applyAlignment="1">
      <alignment horizontal="center" wrapText="1"/>
    </xf>
    <xf numFmtId="4" fontId="2" fillId="8" borderId="23" xfId="13" applyNumberFormat="1" applyFont="1" applyFill="1" applyBorder="1" applyAlignment="1">
      <alignment horizontal="center" wrapText="1"/>
    </xf>
    <xf numFmtId="4" fontId="2" fillId="8" borderId="20" xfId="13" applyNumberFormat="1" applyFont="1" applyFill="1" applyBorder="1" applyAlignment="1">
      <alignment horizontal="right" wrapText="1"/>
    </xf>
    <xf numFmtId="1" fontId="2" fillId="7" borderId="21" xfId="13" applyNumberFormat="1" applyFont="1" applyFill="1" applyBorder="1" applyAlignment="1">
      <alignment horizontal="center" wrapText="1"/>
    </xf>
    <xf numFmtId="4" fontId="2" fillId="7" borderId="21" xfId="13" applyNumberFormat="1" applyFont="1" applyFill="1" applyBorder="1" applyAlignment="1">
      <alignment horizontal="center" wrapText="1"/>
    </xf>
    <xf numFmtId="4" fontId="2" fillId="7" borderId="17" xfId="13" applyNumberFormat="1" applyFont="1" applyFill="1" applyBorder="1" applyAlignment="1">
      <alignment horizontal="center" wrapText="1"/>
    </xf>
    <xf numFmtId="4" fontId="2" fillId="7" borderId="5" xfId="13" applyNumberFormat="1" applyFont="1" applyFill="1" applyBorder="1" applyAlignment="1">
      <alignment horizontal="center" wrapText="1"/>
    </xf>
    <xf numFmtId="4" fontId="29" fillId="0" borderId="0" xfId="13" applyNumberFormat="1" applyFont="1"/>
    <xf numFmtId="0" fontId="29" fillId="0" borderId="0" xfId="13" applyFont="1"/>
    <xf numFmtId="4" fontId="2" fillId="6" borderId="82" xfId="13" applyNumberFormat="1" applyFont="1" applyFill="1" applyBorder="1" applyAlignment="1">
      <alignment horizontal="center"/>
    </xf>
    <xf numFmtId="4" fontId="2" fillId="6" borderId="59" xfId="13" applyNumberFormat="1" applyFont="1" applyFill="1" applyBorder="1" applyAlignment="1">
      <alignment horizontal="center" wrapText="1"/>
    </xf>
    <xf numFmtId="4" fontId="2" fillId="6" borderId="58" xfId="13" applyNumberFormat="1" applyFont="1" applyFill="1" applyBorder="1" applyAlignment="1">
      <alignment horizontal="center"/>
    </xf>
    <xf numFmtId="3" fontId="6" fillId="4" borderId="62" xfId="13" applyNumberFormat="1" applyFont="1" applyFill="1" applyBorder="1" applyAlignment="1">
      <alignment horizontal="center" vertical="center"/>
    </xf>
    <xf numFmtId="3" fontId="6" fillId="4" borderId="81" xfId="13" applyNumberFormat="1" applyFont="1" applyFill="1" applyBorder="1" applyAlignment="1">
      <alignment horizontal="center" vertical="center"/>
    </xf>
    <xf numFmtId="4" fontId="2" fillId="7" borderId="31" xfId="13" applyNumberFormat="1" applyFont="1" applyFill="1" applyBorder="1" applyAlignment="1">
      <alignment horizontal="right" wrapText="1"/>
    </xf>
    <xf numFmtId="4" fontId="2" fillId="7" borderId="20" xfId="13" applyNumberFormat="1" applyFont="1" applyFill="1" applyBorder="1" applyAlignment="1">
      <alignment horizontal="right" wrapText="1"/>
    </xf>
    <xf numFmtId="0" fontId="3" fillId="0" borderId="62" xfId="13" applyFont="1" applyBorder="1" applyAlignment="1">
      <alignment horizontal="center" vertical="center" wrapText="1"/>
    </xf>
    <xf numFmtId="0" fontId="3" fillId="0" borderId="9" xfId="13" applyFont="1" applyFill="1" applyBorder="1" applyAlignment="1">
      <alignment horizontal="center" vertical="center" wrapText="1"/>
    </xf>
    <xf numFmtId="0" fontId="3" fillId="0" borderId="4" xfId="13" applyFont="1" applyFill="1" applyBorder="1" applyAlignment="1">
      <alignment horizontal="center" vertical="center" wrapText="1"/>
    </xf>
    <xf numFmtId="0" fontId="3" fillId="0" borderId="15" xfId="13" applyFont="1" applyFill="1" applyBorder="1" applyAlignment="1">
      <alignment horizontal="center" vertical="center" wrapText="1"/>
    </xf>
    <xf numFmtId="0" fontId="3" fillId="0" borderId="53" xfId="13" applyFont="1" applyFill="1" applyBorder="1" applyAlignment="1">
      <alignment horizontal="center" vertical="center" wrapText="1"/>
    </xf>
    <xf numFmtId="0" fontId="3" fillId="0" borderId="3" xfId="13" applyFont="1" applyFill="1" applyBorder="1" applyAlignment="1">
      <alignment horizontal="center" vertical="center" wrapText="1"/>
    </xf>
    <xf numFmtId="0" fontId="3" fillId="0" borderId="61" xfId="13" applyFont="1" applyBorder="1" applyAlignment="1">
      <alignment horizontal="center" vertical="center" wrapText="1"/>
    </xf>
    <xf numFmtId="0" fontId="3" fillId="0" borderId="62" xfId="13" applyFont="1" applyBorder="1" applyAlignment="1">
      <alignment horizontal="center" vertical="center"/>
    </xf>
    <xf numFmtId="0" fontId="3" fillId="0" borderId="0" xfId="13" applyFont="1" applyBorder="1" applyAlignment="1">
      <alignment horizontal="center" vertical="center"/>
    </xf>
    <xf numFmtId="0" fontId="5" fillId="7" borderId="27" xfId="13" applyFont="1" applyFill="1" applyBorder="1" applyAlignment="1">
      <alignment horizontal="center" vertical="center" wrapText="1"/>
    </xf>
    <xf numFmtId="4" fontId="2" fillId="0" borderId="20" xfId="13" applyNumberFormat="1" applyFont="1" applyBorder="1" applyAlignment="1">
      <alignment horizontal="center" wrapText="1"/>
    </xf>
    <xf numFmtId="4" fontId="6" fillId="0" borderId="83" xfId="13" applyNumberFormat="1" applyFont="1" applyBorder="1" applyAlignment="1">
      <alignment horizontal="center" vertical="center"/>
    </xf>
    <xf numFmtId="4" fontId="2" fillId="0" borderId="4" xfId="13" applyNumberFormat="1" applyFont="1" applyBorder="1" applyAlignment="1">
      <alignment horizontal="center"/>
    </xf>
    <xf numFmtId="4" fontId="6" fillId="0" borderId="20" xfId="13" applyNumberFormat="1" applyFont="1" applyBorder="1" applyAlignment="1">
      <alignment horizontal="center"/>
    </xf>
    <xf numFmtId="4" fontId="6" fillId="0" borderId="14" xfId="13" applyNumberFormat="1" applyFont="1" applyBorder="1" applyAlignment="1">
      <alignment horizontal="center" vertical="center"/>
    </xf>
    <xf numFmtId="3" fontId="2" fillId="0" borderId="9" xfId="13" applyNumberFormat="1" applyFont="1" applyFill="1" applyBorder="1" applyAlignment="1">
      <alignment horizontal="center"/>
    </xf>
    <xf numFmtId="3" fontId="6" fillId="0" borderId="24" xfId="13" applyNumberFormat="1" applyFont="1" applyBorder="1" applyAlignment="1">
      <alignment horizontal="center"/>
    </xf>
    <xf numFmtId="4" fontId="6" fillId="0" borderId="54" xfId="13" applyNumberFormat="1" applyFont="1" applyBorder="1" applyAlignment="1">
      <alignment horizontal="center"/>
    </xf>
    <xf numFmtId="4" fontId="2" fillId="6" borderId="84" xfId="13" applyNumberFormat="1" applyFont="1" applyFill="1" applyBorder="1" applyAlignment="1">
      <alignment horizontal="center" wrapText="1"/>
    </xf>
    <xf numFmtId="4" fontId="2" fillId="6" borderId="62" xfId="13" applyNumberFormat="1" applyFont="1" applyFill="1" applyBorder="1" applyAlignment="1">
      <alignment horizontal="center"/>
    </xf>
    <xf numFmtId="1" fontId="2" fillId="5" borderId="29" xfId="13" applyNumberFormat="1" applyFont="1" applyFill="1" applyBorder="1" applyAlignment="1">
      <alignment horizontal="center" wrapText="1"/>
    </xf>
    <xf numFmtId="1" fontId="2" fillId="5" borderId="21" xfId="13" applyNumberFormat="1" applyFont="1" applyFill="1" applyBorder="1" applyAlignment="1">
      <alignment horizontal="center" wrapText="1"/>
    </xf>
    <xf numFmtId="3" fontId="2" fillId="5" borderId="17" xfId="13" applyNumberFormat="1" applyFont="1" applyFill="1" applyBorder="1" applyAlignment="1">
      <alignment horizontal="center" wrapText="1"/>
    </xf>
    <xf numFmtId="1" fontId="2" fillId="5" borderId="21" xfId="13" applyNumberFormat="1" applyFont="1" applyFill="1" applyBorder="1" applyAlignment="1">
      <alignment horizontal="center"/>
    </xf>
    <xf numFmtId="4" fontId="2" fillId="5" borderId="19" xfId="13" applyNumberFormat="1" applyFont="1" applyFill="1" applyBorder="1" applyAlignment="1">
      <alignment horizontal="center" wrapText="1"/>
    </xf>
    <xf numFmtId="4" fontId="2" fillId="5" borderId="40" xfId="13" applyNumberFormat="1" applyFont="1" applyFill="1" applyBorder="1" applyAlignment="1">
      <alignment horizontal="center" wrapText="1"/>
    </xf>
    <xf numFmtId="4" fontId="6" fillId="4" borderId="9" xfId="13" applyNumberFormat="1" applyFont="1" applyFill="1" applyBorder="1" applyAlignment="1">
      <alignment horizontal="center" vertical="center"/>
    </xf>
    <xf numFmtId="4" fontId="6" fillId="4" borderId="47" xfId="13" applyNumberFormat="1" applyFont="1" applyFill="1" applyBorder="1" applyAlignment="1">
      <alignment horizontal="center" vertical="center"/>
    </xf>
    <xf numFmtId="3" fontId="6" fillId="4" borderId="7" xfId="13" applyNumberFormat="1" applyFont="1" applyFill="1" applyBorder="1" applyAlignment="1">
      <alignment horizontal="center" vertical="center"/>
    </xf>
    <xf numFmtId="4" fontId="6" fillId="4" borderId="14" xfId="13" applyNumberFormat="1" applyFont="1" applyFill="1" applyBorder="1" applyAlignment="1">
      <alignment horizontal="center" vertical="center"/>
    </xf>
    <xf numFmtId="4" fontId="6" fillId="4" borderId="74" xfId="13" applyNumberFormat="1" applyFont="1" applyFill="1" applyBorder="1" applyAlignment="1">
      <alignment horizontal="center" vertical="center"/>
    </xf>
    <xf numFmtId="3" fontId="6" fillId="4" borderId="10" xfId="13" applyNumberFormat="1" applyFont="1" applyFill="1" applyBorder="1" applyAlignment="1">
      <alignment horizontal="center" vertical="center"/>
    </xf>
    <xf numFmtId="3" fontId="6" fillId="4" borderId="47" xfId="13" applyNumberFormat="1" applyFont="1" applyFill="1" applyBorder="1" applyAlignment="1">
      <alignment horizontal="center" vertical="center"/>
    </xf>
    <xf numFmtId="4" fontId="6" fillId="4" borderId="7" xfId="13" applyNumberFormat="1" applyFont="1" applyFill="1" applyBorder="1" applyAlignment="1">
      <alignment horizontal="center" vertical="center"/>
    </xf>
    <xf numFmtId="1" fontId="6" fillId="4" borderId="75" xfId="13" applyNumberFormat="1" applyFont="1" applyFill="1" applyBorder="1" applyAlignment="1">
      <alignment horizontal="right" vertical="center"/>
    </xf>
    <xf numFmtId="1" fontId="6" fillId="4" borderId="76" xfId="13" applyNumberFormat="1" applyFont="1" applyFill="1" applyBorder="1" applyAlignment="1">
      <alignment horizontal="right" vertical="center"/>
    </xf>
    <xf numFmtId="4" fontId="6" fillId="4" borderId="76" xfId="13" applyNumberFormat="1" applyFont="1" applyFill="1" applyBorder="1" applyAlignment="1">
      <alignment horizontal="right" vertical="center"/>
    </xf>
    <xf numFmtId="4" fontId="6" fillId="4" borderId="0" xfId="13" applyNumberFormat="1" applyFont="1" applyFill="1" applyAlignment="1">
      <alignment horizontal="center" vertical="center"/>
    </xf>
    <xf numFmtId="1" fontId="2" fillId="5" borderId="15" xfId="13" applyNumberFormat="1" applyFont="1" applyFill="1" applyBorder="1" applyAlignment="1">
      <alignment horizontal="center"/>
    </xf>
    <xf numFmtId="1" fontId="2" fillId="5" borderId="9" xfId="13" applyNumberFormat="1" applyFont="1" applyFill="1" applyBorder="1" applyAlignment="1">
      <alignment horizontal="center"/>
    </xf>
    <xf numFmtId="4" fontId="2" fillId="5" borderId="9" xfId="13" applyNumberFormat="1" applyFont="1" applyFill="1" applyBorder="1" applyAlignment="1">
      <alignment horizontal="center" wrapText="1"/>
    </xf>
    <xf numFmtId="4" fontId="2" fillId="5" borderId="2" xfId="13" applyNumberFormat="1" applyFont="1" applyFill="1" applyBorder="1" applyAlignment="1">
      <alignment horizontal="center" wrapText="1"/>
    </xf>
    <xf numFmtId="4" fontId="6" fillId="4" borderId="85" xfId="13" applyNumberFormat="1" applyFont="1" applyFill="1" applyBorder="1" applyAlignment="1">
      <alignment horizontal="center" vertical="center"/>
    </xf>
    <xf numFmtId="4" fontId="6" fillId="4" borderId="10" xfId="13" applyNumberFormat="1" applyFont="1" applyFill="1" applyBorder="1" applyAlignment="1">
      <alignment horizontal="left" vertical="center"/>
    </xf>
    <xf numFmtId="4" fontId="2" fillId="5" borderId="4" xfId="13" applyNumberFormat="1" applyFont="1" applyFill="1" applyBorder="1" applyAlignment="1">
      <alignment horizontal="right" wrapText="1"/>
    </xf>
    <xf numFmtId="4" fontId="6" fillId="0" borderId="78" xfId="13" applyNumberFormat="1" applyFont="1" applyFill="1" applyBorder="1" applyAlignment="1">
      <alignment horizontal="right"/>
    </xf>
    <xf numFmtId="4" fontId="6" fillId="4" borderId="14" xfId="13" applyNumberFormat="1" applyFont="1" applyFill="1" applyBorder="1" applyAlignment="1">
      <alignment horizontal="right" vertical="center"/>
    </xf>
    <xf numFmtId="4" fontId="2" fillId="8" borderId="18" xfId="13" applyNumberFormat="1" applyFont="1" applyFill="1" applyBorder="1" applyAlignment="1">
      <alignment horizontal="center" wrapText="1"/>
    </xf>
    <xf numFmtId="4" fontId="2" fillId="8" borderId="19" xfId="13" applyNumberFormat="1" applyFont="1" applyFill="1" applyBorder="1" applyAlignment="1">
      <alignment horizontal="center" wrapText="1"/>
    </xf>
    <xf numFmtId="1" fontId="6" fillId="4" borderId="73" xfId="13" applyNumberFormat="1" applyFont="1" applyFill="1" applyBorder="1" applyAlignment="1">
      <alignment horizontal="center" vertical="center"/>
    </xf>
    <xf numFmtId="1" fontId="6" fillId="4" borderId="7" xfId="13" applyNumberFormat="1" applyFont="1" applyFill="1" applyBorder="1" applyAlignment="1">
      <alignment horizontal="center" vertical="center"/>
    </xf>
    <xf numFmtId="1" fontId="2" fillId="8" borderId="18" xfId="13" applyNumberFormat="1" applyFont="1" applyFill="1" applyBorder="1" applyAlignment="1">
      <alignment horizontal="center" wrapText="1"/>
    </xf>
    <xf numFmtId="1" fontId="2" fillId="8" borderId="19" xfId="13" applyNumberFormat="1" applyFont="1" applyFill="1" applyBorder="1" applyAlignment="1">
      <alignment horizontal="center" wrapText="1"/>
    </xf>
    <xf numFmtId="1" fontId="6" fillId="4" borderId="15" xfId="13" applyNumberFormat="1" applyFont="1" applyFill="1" applyBorder="1" applyAlignment="1">
      <alignment horizontal="center" vertical="center"/>
    </xf>
    <xf numFmtId="1" fontId="6" fillId="4" borderId="2" xfId="13" applyNumberFormat="1" applyFont="1" applyFill="1" applyBorder="1" applyAlignment="1">
      <alignment horizontal="center" vertical="center"/>
    </xf>
    <xf numFmtId="0" fontId="2" fillId="0" borderId="0" xfId="13" applyFont="1" applyAlignment="1">
      <alignment vertical="center"/>
    </xf>
    <xf numFmtId="0" fontId="3" fillId="0" borderId="0" xfId="13" applyFont="1"/>
    <xf numFmtId="4" fontId="3" fillId="0" borderId="0" xfId="13" applyNumberFormat="1" applyFont="1"/>
    <xf numFmtId="0" fontId="17" fillId="0" borderId="0" xfId="13" applyFont="1"/>
    <xf numFmtId="0" fontId="7" fillId="0" borderId="0" xfId="13" applyFont="1" applyBorder="1" applyAlignment="1">
      <alignment vertical="center"/>
    </xf>
    <xf numFmtId="1" fontId="2" fillId="7" borderId="15" xfId="13" applyNumberFormat="1" applyFont="1" applyFill="1" applyBorder="1" applyAlignment="1">
      <alignment horizontal="center" wrapText="1"/>
    </xf>
    <xf numFmtId="4" fontId="2" fillId="7" borderId="9" xfId="13" applyNumberFormat="1" applyFont="1" applyFill="1" applyBorder="1" applyAlignment="1">
      <alignment horizontal="center" wrapText="1"/>
    </xf>
    <xf numFmtId="4" fontId="2" fillId="7" borderId="2" xfId="13" applyNumberFormat="1" applyFont="1" applyFill="1" applyBorder="1" applyAlignment="1">
      <alignment horizontal="center" wrapText="1"/>
    </xf>
    <xf numFmtId="1" fontId="2" fillId="8" borderId="15" xfId="13" applyNumberFormat="1" applyFont="1" applyFill="1" applyBorder="1" applyAlignment="1">
      <alignment horizontal="center" wrapText="1"/>
    </xf>
    <xf numFmtId="1" fontId="2" fillId="8" borderId="2" xfId="13" applyNumberFormat="1" applyFont="1" applyFill="1" applyBorder="1" applyAlignment="1">
      <alignment horizontal="center" wrapText="1"/>
    </xf>
    <xf numFmtId="4" fontId="2" fillId="8" borderId="9" xfId="13" applyNumberFormat="1" applyFont="1" applyFill="1" applyBorder="1" applyAlignment="1">
      <alignment horizontal="center" wrapText="1"/>
    </xf>
    <xf numFmtId="4" fontId="2" fillId="8" borderId="2" xfId="13" applyNumberFormat="1" applyFont="1" applyFill="1" applyBorder="1" applyAlignment="1">
      <alignment horizontal="center" wrapText="1"/>
    </xf>
    <xf numFmtId="4" fontId="2" fillId="8" borderId="4" xfId="13" applyNumberFormat="1" applyFont="1" applyFill="1" applyBorder="1" applyAlignment="1">
      <alignment horizontal="right" wrapText="1"/>
    </xf>
    <xf numFmtId="1" fontId="2" fillId="7" borderId="9" xfId="13" applyNumberFormat="1" applyFont="1" applyFill="1" applyBorder="1" applyAlignment="1">
      <alignment horizontal="center" wrapText="1"/>
    </xf>
    <xf numFmtId="3" fontId="6" fillId="4" borderId="85" xfId="13" applyNumberFormat="1" applyFont="1" applyFill="1" applyBorder="1" applyAlignment="1">
      <alignment horizontal="center" vertical="center"/>
    </xf>
    <xf numFmtId="1" fontId="2" fillId="5" borderId="39" xfId="13" applyNumberFormat="1" applyFont="1" applyFill="1" applyBorder="1" applyAlignment="1">
      <alignment horizontal="center"/>
    </xf>
    <xf numFmtId="1" fontId="2" fillId="5" borderId="40" xfId="13" applyNumberFormat="1" applyFont="1" applyFill="1" applyBorder="1" applyAlignment="1">
      <alignment horizontal="center"/>
    </xf>
    <xf numFmtId="4" fontId="2" fillId="5" borderId="26" xfId="13" applyNumberFormat="1" applyFont="1" applyFill="1" applyBorder="1" applyAlignment="1">
      <alignment horizontal="center"/>
    </xf>
    <xf numFmtId="4" fontId="2" fillId="5" borderId="6" xfId="13" applyNumberFormat="1" applyFont="1" applyFill="1" applyBorder="1" applyAlignment="1">
      <alignment horizontal="center"/>
    </xf>
    <xf numFmtId="4" fontId="2" fillId="5" borderId="6" xfId="13" applyNumberFormat="1" applyFont="1" applyFill="1" applyBorder="1" applyAlignment="1">
      <alignment horizontal="center" wrapText="1"/>
    </xf>
    <xf numFmtId="4" fontId="2" fillId="5" borderId="24" xfId="13" applyNumberFormat="1" applyFont="1" applyFill="1" applyBorder="1" applyAlignment="1">
      <alignment horizontal="center" wrapText="1"/>
    </xf>
    <xf numFmtId="4" fontId="2" fillId="8" borderId="25" xfId="13" applyNumberFormat="1" applyFont="1" applyFill="1" applyBorder="1" applyAlignment="1">
      <alignment horizontal="center" wrapText="1"/>
    </xf>
    <xf numFmtId="1" fontId="2" fillId="8" borderId="44" xfId="13" applyNumberFormat="1" applyFont="1" applyFill="1" applyBorder="1" applyAlignment="1">
      <alignment horizontal="center" wrapText="1"/>
    </xf>
    <xf numFmtId="1" fontId="2" fillId="8" borderId="25" xfId="13" applyNumberFormat="1" applyFont="1" applyFill="1" applyBorder="1" applyAlignment="1">
      <alignment horizontal="center" wrapText="1"/>
    </xf>
    <xf numFmtId="3" fontId="2" fillId="8" borderId="26" xfId="13" applyNumberFormat="1" applyFont="1" applyFill="1" applyBorder="1" applyAlignment="1">
      <alignment horizontal="center"/>
    </xf>
    <xf numFmtId="3" fontId="2" fillId="8" borderId="6" xfId="13" applyNumberFormat="1" applyFont="1" applyFill="1" applyBorder="1" applyAlignment="1">
      <alignment horizontal="center"/>
    </xf>
    <xf numFmtId="4" fontId="2" fillId="8" borderId="6" xfId="13" applyNumberFormat="1" applyFont="1" applyFill="1" applyBorder="1" applyAlignment="1">
      <alignment horizontal="center" wrapText="1"/>
    </xf>
    <xf numFmtId="1" fontId="2" fillId="7" borderId="16" xfId="13" applyNumberFormat="1" applyFont="1" applyFill="1" applyBorder="1" applyAlignment="1">
      <alignment horizontal="center" wrapText="1"/>
    </xf>
    <xf numFmtId="3" fontId="2" fillId="7" borderId="26" xfId="13" applyNumberFormat="1" applyFont="1" applyFill="1" applyBorder="1" applyAlignment="1">
      <alignment horizontal="center"/>
    </xf>
    <xf numFmtId="3" fontId="2" fillId="7" borderId="5" xfId="13" applyNumberFormat="1" applyFont="1" applyFill="1" applyBorder="1" applyAlignment="1">
      <alignment horizontal="center"/>
    </xf>
    <xf numFmtId="4" fontId="2" fillId="7" borderId="6" xfId="13" applyNumberFormat="1" applyFont="1" applyFill="1" applyBorder="1" applyAlignment="1">
      <alignment horizontal="center" wrapText="1"/>
    </xf>
    <xf numFmtId="4" fontId="2" fillId="7" borderId="37" xfId="13" applyNumberFormat="1" applyFont="1" applyFill="1" applyBorder="1" applyAlignment="1">
      <alignment horizontal="right" wrapText="1"/>
    </xf>
    <xf numFmtId="4" fontId="6" fillId="4" borderId="86" xfId="13" applyNumberFormat="1" applyFont="1" applyFill="1" applyBorder="1" applyAlignment="1">
      <alignment horizontal="right" vertical="center"/>
    </xf>
    <xf numFmtId="4" fontId="2" fillId="8" borderId="37" xfId="13" applyNumberFormat="1" applyFont="1" applyFill="1" applyBorder="1" applyAlignment="1">
      <alignment horizontal="right" wrapText="1"/>
    </xf>
    <xf numFmtId="4" fontId="2" fillId="0" borderId="8" xfId="13" applyNumberFormat="1" applyFont="1" applyBorder="1" applyAlignment="1">
      <alignment horizontal="center"/>
    </xf>
    <xf numFmtId="4" fontId="2" fillId="0" borderId="13" xfId="13" applyNumberFormat="1" applyFont="1" applyBorder="1" applyAlignment="1">
      <alignment horizontal="center"/>
    </xf>
    <xf numFmtId="4" fontId="2" fillId="5" borderId="70" xfId="13" applyNumberFormat="1" applyFont="1" applyFill="1" applyBorder="1" applyAlignment="1">
      <alignment horizontal="right" wrapText="1"/>
    </xf>
    <xf numFmtId="4" fontId="2" fillId="0" borderId="60" xfId="13" applyNumberFormat="1" applyFont="1" applyBorder="1" applyAlignment="1">
      <alignment horizontal="center"/>
    </xf>
    <xf numFmtId="4" fontId="2" fillId="0" borderId="87" xfId="13" applyNumberFormat="1" applyFont="1" applyBorder="1" applyAlignment="1">
      <alignment horizontal="center"/>
    </xf>
    <xf numFmtId="0" fontId="14" fillId="0" borderId="0" xfId="13" applyFont="1" applyAlignment="1">
      <alignment horizontal="left" vertical="center" wrapText="1"/>
    </xf>
    <xf numFmtId="4" fontId="2" fillId="6" borderId="60" xfId="13" applyNumberFormat="1" applyFont="1" applyFill="1" applyBorder="1" applyAlignment="1">
      <alignment horizontal="center" wrapText="1"/>
    </xf>
    <xf numFmtId="0" fontId="2" fillId="6" borderId="42" xfId="13" applyFont="1" applyFill="1" applyBorder="1" applyAlignment="1">
      <alignment horizontal="center" vertical="center" wrapText="1"/>
    </xf>
    <xf numFmtId="0" fontId="2" fillId="6" borderId="6" xfId="13" applyFont="1" applyFill="1" applyBorder="1" applyAlignment="1">
      <alignment horizontal="center" vertical="center" wrapText="1"/>
    </xf>
    <xf numFmtId="0" fontId="5" fillId="6" borderId="16" xfId="13" applyFont="1" applyFill="1" applyBorder="1" applyAlignment="1">
      <alignment horizontal="center" vertical="center" wrapText="1"/>
    </xf>
    <xf numFmtId="0" fontId="5" fillId="6" borderId="6" xfId="13" applyFont="1" applyFill="1" applyBorder="1" applyAlignment="1">
      <alignment horizontal="center" vertical="center" wrapText="1"/>
    </xf>
    <xf numFmtId="0" fontId="5" fillId="6" borderId="37" xfId="13" applyFont="1" applyFill="1" applyBorder="1" applyAlignment="1">
      <alignment horizontal="center" vertical="center" wrapText="1"/>
    </xf>
    <xf numFmtId="3" fontId="2" fillId="6" borderId="23" xfId="13" applyNumberFormat="1" applyFont="1" applyFill="1" applyBorder="1" applyAlignment="1">
      <alignment horizontal="center" wrapText="1"/>
    </xf>
    <xf numFmtId="3" fontId="2" fillId="6" borderId="17" xfId="13" applyNumberFormat="1" applyFont="1" applyFill="1" applyBorder="1" applyAlignment="1">
      <alignment horizontal="center" wrapText="1"/>
    </xf>
    <xf numFmtId="4" fontId="2" fillId="6" borderId="21" xfId="13" applyNumberFormat="1" applyFont="1" applyFill="1" applyBorder="1" applyAlignment="1">
      <alignment horizontal="center" wrapText="1"/>
    </xf>
    <xf numFmtId="4" fontId="2" fillId="6" borderId="17" xfId="13" applyNumberFormat="1" applyFont="1" applyFill="1" applyBorder="1" applyAlignment="1">
      <alignment horizontal="center" wrapText="1"/>
    </xf>
    <xf numFmtId="4" fontId="2" fillId="6" borderId="20" xfId="13" applyNumberFormat="1" applyFont="1" applyFill="1" applyBorder="1" applyAlignment="1">
      <alignment horizontal="center" wrapText="1"/>
    </xf>
    <xf numFmtId="3" fontId="2" fillId="6" borderId="23" xfId="13" applyNumberFormat="1" applyFont="1" applyFill="1" applyBorder="1" applyAlignment="1">
      <alignment horizontal="center"/>
    </xf>
    <xf numFmtId="3" fontId="2" fillId="6" borderId="17" xfId="13" applyNumberFormat="1" applyFont="1" applyFill="1" applyBorder="1" applyAlignment="1">
      <alignment horizontal="center"/>
    </xf>
    <xf numFmtId="3" fontId="2" fillId="6" borderId="65" xfId="13" applyNumberFormat="1" applyFont="1" applyFill="1" applyBorder="1" applyAlignment="1">
      <alignment horizontal="center"/>
    </xf>
    <xf numFmtId="4" fontId="2" fillId="6" borderId="5" xfId="13" applyNumberFormat="1" applyFont="1" applyFill="1" applyBorder="1" applyAlignment="1">
      <alignment horizontal="center" wrapText="1"/>
    </xf>
    <xf numFmtId="4" fontId="2" fillId="8" borderId="6" xfId="13" applyNumberFormat="1" applyFont="1" applyFill="1" applyBorder="1" applyAlignment="1">
      <alignment horizontal="center"/>
    </xf>
    <xf numFmtId="4" fontId="2" fillId="7" borderId="4" xfId="13" applyNumberFormat="1" applyFont="1" applyFill="1" applyBorder="1" applyAlignment="1">
      <alignment horizontal="right" wrapText="1"/>
    </xf>
    <xf numFmtId="4" fontId="6" fillId="0" borderId="70" xfId="13" applyNumberFormat="1" applyFont="1" applyFill="1" applyBorder="1" applyAlignment="1">
      <alignment horizontal="right"/>
    </xf>
    <xf numFmtId="0" fontId="27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4" fontId="27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3" fontId="6" fillId="0" borderId="0" xfId="13" applyNumberFormat="1" applyFont="1"/>
    <xf numFmtId="0" fontId="6" fillId="0" borderId="0" xfId="13" applyFont="1" applyAlignment="1">
      <alignment wrapText="1"/>
    </xf>
    <xf numFmtId="4" fontId="6" fillId="0" borderId="0" xfId="13" applyNumberFormat="1" applyFont="1"/>
    <xf numFmtId="0" fontId="35" fillId="0" borderId="0" xfId="13" applyFont="1"/>
    <xf numFmtId="0" fontId="18" fillId="0" borderId="0" xfId="13" applyFont="1"/>
    <xf numFmtId="3" fontId="32" fillId="5" borderId="19" xfId="0" applyNumberFormat="1" applyFont="1" applyFill="1" applyBorder="1" applyAlignment="1">
      <alignment horizontal="center" vertical="center"/>
    </xf>
    <xf numFmtId="4" fontId="32" fillId="5" borderId="19" xfId="0" applyNumberFormat="1" applyFont="1" applyFill="1" applyBorder="1" applyAlignment="1">
      <alignment vertical="center"/>
    </xf>
    <xf numFmtId="4" fontId="32" fillId="8" borderId="19" xfId="0" applyNumberFormat="1" applyFont="1" applyFill="1" applyBorder="1" applyAlignment="1">
      <alignment vertical="center"/>
    </xf>
    <xf numFmtId="3" fontId="32" fillId="7" borderId="19" xfId="0" applyNumberFormat="1" applyFont="1" applyFill="1" applyBorder="1" applyAlignment="1">
      <alignment horizontal="center" vertical="center"/>
    </xf>
    <xf numFmtId="4" fontId="0" fillId="0" borderId="0" xfId="0" applyNumberFormat="1" applyFont="1"/>
    <xf numFmtId="0" fontId="28" fillId="5" borderId="27" xfId="0" applyFont="1" applyFill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/>
    </xf>
    <xf numFmtId="3" fontId="32" fillId="5" borderId="23" xfId="0" applyNumberFormat="1" applyFont="1" applyFill="1" applyBorder="1" applyAlignment="1">
      <alignment horizontal="center" vertical="center"/>
    </xf>
    <xf numFmtId="3" fontId="32" fillId="5" borderId="18" xfId="0" applyNumberFormat="1" applyFont="1" applyFill="1" applyBorder="1" applyAlignment="1">
      <alignment horizontal="center" vertical="center"/>
    </xf>
    <xf numFmtId="3" fontId="34" fillId="0" borderId="15" xfId="0" applyNumberFormat="1" applyFont="1" applyBorder="1" applyAlignment="1">
      <alignment horizontal="center" vertical="center"/>
    </xf>
    <xf numFmtId="3" fontId="34" fillId="0" borderId="9" xfId="0" applyNumberFormat="1" applyFont="1" applyBorder="1" applyAlignment="1">
      <alignment horizontal="center" vertical="center"/>
    </xf>
    <xf numFmtId="4" fontId="34" fillId="0" borderId="9" xfId="0" applyNumberFormat="1" applyFont="1" applyBorder="1" applyAlignment="1">
      <alignment vertical="center"/>
    </xf>
    <xf numFmtId="0" fontId="28" fillId="7" borderId="5" xfId="0" applyFont="1" applyFill="1" applyBorder="1" applyAlignment="1">
      <alignment horizontal="center" vertical="center" wrapText="1"/>
    </xf>
    <xf numFmtId="3" fontId="34" fillId="0" borderId="2" xfId="0" applyNumberFormat="1" applyFont="1" applyBorder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28" fillId="12" borderId="26" xfId="0" applyFont="1" applyFill="1" applyBorder="1" applyAlignment="1">
      <alignment horizontal="center" vertical="center" wrapText="1"/>
    </xf>
    <xf numFmtId="4" fontId="32" fillId="12" borderId="21" xfId="0" applyNumberFormat="1" applyFont="1" applyFill="1" applyBorder="1" applyAlignment="1">
      <alignment vertical="center"/>
    </xf>
    <xf numFmtId="0" fontId="28" fillId="13" borderId="26" xfId="0" applyFont="1" applyFill="1" applyBorder="1" applyAlignment="1">
      <alignment horizontal="center" vertical="center" wrapText="1"/>
    </xf>
    <xf numFmtId="4" fontId="32" fillId="13" borderId="56" xfId="0" applyNumberFormat="1" applyFont="1" applyFill="1" applyBorder="1" applyAlignment="1">
      <alignment vertical="center"/>
    </xf>
    <xf numFmtId="0" fontId="28" fillId="14" borderId="13" xfId="0" applyFont="1" applyFill="1" applyBorder="1" applyAlignment="1">
      <alignment horizontal="center" vertical="center" wrapText="1"/>
    </xf>
    <xf numFmtId="4" fontId="32" fillId="14" borderId="63" xfId="0" applyNumberFormat="1" applyFont="1" applyFill="1" applyBorder="1" applyAlignment="1">
      <alignment vertical="center"/>
    </xf>
    <xf numFmtId="4" fontId="34" fillId="13" borderId="9" xfId="0" applyNumberFormat="1" applyFont="1" applyFill="1" applyBorder="1" applyAlignment="1">
      <alignment vertical="center"/>
    </xf>
    <xf numFmtId="4" fontId="34" fillId="12" borderId="9" xfId="0" applyNumberFormat="1" applyFont="1" applyFill="1" applyBorder="1" applyAlignment="1">
      <alignment vertical="center"/>
    </xf>
    <xf numFmtId="4" fontId="34" fillId="14" borderId="61" xfId="0" applyNumberFormat="1" applyFont="1" applyFill="1" applyBorder="1" applyAlignment="1">
      <alignment vertical="center"/>
    </xf>
    <xf numFmtId="10" fontId="5" fillId="0" borderId="0" xfId="13" applyNumberFormat="1" applyFont="1"/>
    <xf numFmtId="0" fontId="6" fillId="0" borderId="0" xfId="13" applyFont="1" applyAlignment="1">
      <alignment horizontal="center"/>
    </xf>
    <xf numFmtId="0" fontId="6" fillId="0" borderId="0" xfId="13" applyFont="1" applyAlignment="1">
      <alignment horizontal="right"/>
    </xf>
    <xf numFmtId="3" fontId="4" fillId="0" borderId="0" xfId="13" applyNumberFormat="1" applyFont="1" applyAlignment="1">
      <alignment horizontal="center"/>
    </xf>
    <xf numFmtId="0" fontId="4" fillId="0" borderId="0" xfId="13" applyFont="1" applyAlignment="1">
      <alignment horizontal="center"/>
    </xf>
    <xf numFmtId="0" fontId="4" fillId="0" borderId="0" xfId="13" applyFont="1" applyAlignment="1">
      <alignment horizontal="right"/>
    </xf>
    <xf numFmtId="3" fontId="8" fillId="0" borderId="0" xfId="13" applyNumberFormat="1" applyFont="1" applyAlignment="1">
      <alignment horizontal="center"/>
    </xf>
    <xf numFmtId="0" fontId="8" fillId="0" borderId="0" xfId="13" applyFont="1" applyAlignment="1">
      <alignment horizontal="center"/>
    </xf>
    <xf numFmtId="0" fontId="8" fillId="0" borderId="0" xfId="13" applyFont="1" applyAlignment="1">
      <alignment horizontal="right"/>
    </xf>
    <xf numFmtId="0" fontId="25" fillId="0" borderId="30" xfId="13" applyFont="1" applyBorder="1"/>
    <xf numFmtId="3" fontId="25" fillId="0" borderId="30" xfId="13" applyNumberFormat="1" applyFont="1" applyBorder="1" applyAlignment="1">
      <alignment horizontal="center"/>
    </xf>
    <xf numFmtId="4" fontId="25" fillId="0" borderId="30" xfId="13" applyNumberFormat="1" applyFont="1" applyBorder="1" applyAlignment="1">
      <alignment horizontal="right"/>
    </xf>
    <xf numFmtId="0" fontId="25" fillId="0" borderId="88" xfId="13" applyFont="1" applyBorder="1" applyAlignment="1">
      <alignment horizontal="center"/>
    </xf>
    <xf numFmtId="0" fontId="25" fillId="0" borderId="89" xfId="13" applyFont="1" applyBorder="1"/>
    <xf numFmtId="3" fontId="25" fillId="0" borderId="89" xfId="13" applyNumberFormat="1" applyFont="1" applyBorder="1" applyAlignment="1">
      <alignment horizontal="center"/>
    </xf>
    <xf numFmtId="4" fontId="25" fillId="0" borderId="89" xfId="13" applyNumberFormat="1" applyFont="1" applyBorder="1" applyAlignment="1">
      <alignment horizontal="right"/>
    </xf>
    <xf numFmtId="10" fontId="26" fillId="0" borderId="89" xfId="13" applyNumberFormat="1" applyFont="1" applyBorder="1" applyAlignment="1">
      <alignment horizontal="right" wrapText="1"/>
    </xf>
    <xf numFmtId="4" fontId="25" fillId="0" borderId="90" xfId="13" applyNumberFormat="1" applyFont="1" applyBorder="1" applyAlignment="1">
      <alignment horizontal="right" wrapText="1"/>
    </xf>
    <xf numFmtId="4" fontId="25" fillId="0" borderId="17" xfId="13" applyNumberFormat="1" applyFont="1" applyBorder="1" applyAlignment="1">
      <alignment horizontal="center" wrapText="1"/>
    </xf>
    <xf numFmtId="4" fontId="7" fillId="0" borderId="0" xfId="13" applyNumberFormat="1" applyFont="1" applyAlignment="1">
      <alignment horizontal="right" vertical="center"/>
    </xf>
    <xf numFmtId="4" fontId="27" fillId="0" borderId="6" xfId="13" applyNumberFormat="1" applyFont="1" applyFill="1" applyBorder="1" applyAlignment="1">
      <alignment horizontal="center" vertical="center" wrapText="1"/>
    </xf>
    <xf numFmtId="4" fontId="4" fillId="0" borderId="0" xfId="13" applyNumberFormat="1" applyFont="1" applyAlignment="1">
      <alignment horizontal="right"/>
    </xf>
    <xf numFmtId="4" fontId="8" fillId="0" borderId="0" xfId="13" applyNumberFormat="1" applyFont="1" applyAlignment="1">
      <alignment horizontal="right"/>
    </xf>
    <xf numFmtId="4" fontId="5" fillId="7" borderId="5" xfId="13" applyNumberFormat="1" applyFont="1" applyFill="1" applyBorder="1" applyAlignment="1">
      <alignment horizontal="right" vertical="center" wrapText="1"/>
    </xf>
    <xf numFmtId="4" fontId="3" fillId="0" borderId="2" xfId="13" applyNumberFormat="1" applyFont="1" applyBorder="1" applyAlignment="1">
      <alignment horizontal="right" vertical="center" wrapText="1"/>
    </xf>
    <xf numFmtId="4" fontId="25" fillId="7" borderId="30" xfId="13" applyNumberFormat="1" applyFont="1" applyFill="1" applyBorder="1" applyAlignment="1">
      <alignment horizontal="right"/>
    </xf>
    <xf numFmtId="4" fontId="25" fillId="7" borderId="6" xfId="13" applyNumberFormat="1" applyFont="1" applyFill="1" applyBorder="1" applyAlignment="1">
      <alignment horizontal="right"/>
    </xf>
    <xf numFmtId="4" fontId="25" fillId="7" borderId="17" xfId="13" applyNumberFormat="1" applyFont="1" applyFill="1" applyBorder="1" applyAlignment="1">
      <alignment horizontal="right"/>
    </xf>
    <xf numFmtId="2" fontId="2" fillId="0" borderId="0" xfId="13" applyNumberFormat="1" applyFont="1" applyAlignment="1">
      <alignment horizontal="right"/>
    </xf>
    <xf numFmtId="2" fontId="7" fillId="0" borderId="0" xfId="13" applyNumberFormat="1" applyFont="1" applyAlignment="1">
      <alignment horizontal="right" vertical="center"/>
    </xf>
    <xf numFmtId="2" fontId="6" fillId="0" borderId="2" xfId="13" applyNumberFormat="1" applyFont="1" applyBorder="1" applyAlignment="1">
      <alignment horizontal="center" vertical="center" wrapText="1"/>
    </xf>
    <xf numFmtId="2" fontId="27" fillId="0" borderId="6" xfId="13" applyNumberFormat="1" applyFont="1" applyFill="1" applyBorder="1" applyAlignment="1">
      <alignment horizontal="center" vertical="center" wrapText="1"/>
    </xf>
    <xf numFmtId="2" fontId="25" fillId="7" borderId="57" xfId="13" applyNumberFormat="1" applyFont="1" applyFill="1" applyBorder="1" applyAlignment="1">
      <alignment horizontal="right" wrapText="1"/>
    </xf>
    <xf numFmtId="2" fontId="25" fillId="7" borderId="19" xfId="13" applyNumberFormat="1" applyFont="1" applyFill="1" applyBorder="1" applyAlignment="1">
      <alignment horizontal="right"/>
    </xf>
    <xf numFmtId="2" fontId="25" fillId="7" borderId="91" xfId="13" applyNumberFormat="1" applyFont="1" applyFill="1" applyBorder="1" applyAlignment="1">
      <alignment horizontal="right" wrapText="1"/>
    </xf>
    <xf numFmtId="2" fontId="25" fillId="7" borderId="5" xfId="13" applyNumberFormat="1" applyFont="1" applyFill="1" applyBorder="1" applyAlignment="1">
      <alignment horizontal="right"/>
    </xf>
    <xf numFmtId="2" fontId="27" fillId="0" borderId="25" xfId="13" applyNumberFormat="1" applyFont="1" applyFill="1" applyBorder="1" applyAlignment="1">
      <alignment horizontal="center" vertical="center" wrapText="1"/>
    </xf>
    <xf numFmtId="2" fontId="6" fillId="0" borderId="7" xfId="13" applyNumberFormat="1" applyFont="1" applyBorder="1" applyAlignment="1">
      <alignment horizontal="center" vertical="center"/>
    </xf>
    <xf numFmtId="2" fontId="4" fillId="0" borderId="0" xfId="13" applyNumberFormat="1" applyFont="1" applyAlignment="1">
      <alignment horizontal="right"/>
    </xf>
    <xf numFmtId="2" fontId="8" fillId="0" borderId="0" xfId="13" applyNumberFormat="1" applyFont="1" applyAlignment="1">
      <alignment horizontal="right"/>
    </xf>
    <xf numFmtId="2" fontId="29" fillId="0" borderId="0" xfId="13" applyNumberFormat="1" applyFont="1" applyAlignment="1">
      <alignment horizontal="right"/>
    </xf>
    <xf numFmtId="2" fontId="6" fillId="7" borderId="6" xfId="13" applyNumberFormat="1" applyFont="1" applyFill="1" applyBorder="1" applyAlignment="1">
      <alignment horizontal="right" vertical="center" wrapText="1"/>
    </xf>
    <xf numFmtId="2" fontId="25" fillId="7" borderId="30" xfId="13" applyNumberFormat="1" applyFont="1" applyFill="1" applyBorder="1" applyAlignment="1">
      <alignment horizontal="right"/>
    </xf>
    <xf numFmtId="2" fontId="25" fillId="7" borderId="6" xfId="13" applyNumberFormat="1" applyFont="1" applyFill="1" applyBorder="1" applyAlignment="1">
      <alignment horizontal="right"/>
    </xf>
    <xf numFmtId="2" fontId="25" fillId="8" borderId="19" xfId="13" applyNumberFormat="1" applyFont="1" applyFill="1" applyBorder="1" applyAlignment="1">
      <alignment horizontal="right"/>
    </xf>
    <xf numFmtId="2" fontId="6" fillId="8" borderId="6" xfId="13" applyNumberFormat="1" applyFont="1" applyFill="1" applyBorder="1" applyAlignment="1">
      <alignment horizontal="right" vertical="center" wrapText="1"/>
    </xf>
    <xf numFmtId="2" fontId="25" fillId="8" borderId="30" xfId="13" applyNumberFormat="1" applyFont="1" applyFill="1" applyBorder="1" applyAlignment="1">
      <alignment horizontal="right"/>
    </xf>
    <xf numFmtId="2" fontId="25" fillId="8" borderId="6" xfId="13" applyNumberFormat="1" applyFont="1" applyFill="1" applyBorder="1" applyAlignment="1">
      <alignment horizontal="right"/>
    </xf>
    <xf numFmtId="2" fontId="25" fillId="8" borderId="19" xfId="13" applyNumberFormat="1" applyFont="1" applyFill="1" applyBorder="1" applyAlignment="1">
      <alignment horizontal="right" wrapText="1"/>
    </xf>
    <xf numFmtId="2" fontId="25" fillId="8" borderId="5" xfId="13" applyNumberFormat="1" applyFont="1" applyFill="1" applyBorder="1" applyAlignment="1">
      <alignment horizontal="right"/>
    </xf>
    <xf numFmtId="2" fontId="25" fillId="8" borderId="17" xfId="13" applyNumberFormat="1" applyFont="1" applyFill="1" applyBorder="1" applyAlignment="1">
      <alignment horizontal="right" wrapText="1"/>
    </xf>
    <xf numFmtId="2" fontId="25" fillId="8" borderId="5" xfId="13" applyNumberFormat="1" applyFont="1" applyFill="1" applyBorder="1" applyAlignment="1">
      <alignment horizontal="right" wrapText="1"/>
    </xf>
    <xf numFmtId="4" fontId="27" fillId="0" borderId="25" xfId="13" applyNumberFormat="1" applyFont="1" applyFill="1" applyBorder="1" applyAlignment="1">
      <alignment horizontal="center" vertical="center" wrapText="1"/>
    </xf>
    <xf numFmtId="4" fontId="6" fillId="0" borderId="0" xfId="13" applyNumberFormat="1" applyFont="1" applyAlignment="1">
      <alignment horizontal="right"/>
    </xf>
    <xf numFmtId="4" fontId="6" fillId="5" borderId="6" xfId="13" applyNumberFormat="1" applyFont="1" applyFill="1" applyBorder="1" applyAlignment="1">
      <alignment horizontal="right" vertical="center" wrapText="1"/>
    </xf>
    <xf numFmtId="0" fontId="25" fillId="0" borderId="17" xfId="13" applyFont="1" applyBorder="1" applyAlignment="1"/>
    <xf numFmtId="3" fontId="25" fillId="0" borderId="17" xfId="13" applyNumberFormat="1" applyFont="1" applyBorder="1" applyAlignment="1">
      <alignment horizontal="center" wrapText="1"/>
    </xf>
    <xf numFmtId="4" fontId="25" fillId="6" borderId="17" xfId="13" applyNumberFormat="1" applyFont="1" applyFill="1" applyBorder="1" applyAlignment="1">
      <alignment horizontal="center" wrapText="1"/>
    </xf>
    <xf numFmtId="3" fontId="25" fillId="8" borderId="21" xfId="13" applyNumberFormat="1" applyFont="1" applyFill="1" applyBorder="1" applyAlignment="1">
      <alignment horizontal="center"/>
    </xf>
    <xf numFmtId="3" fontId="25" fillId="8" borderId="17" xfId="13" applyNumberFormat="1" applyFont="1" applyFill="1" applyBorder="1" applyAlignment="1">
      <alignment horizontal="center"/>
    </xf>
    <xf numFmtId="2" fontId="25" fillId="8" borderId="17" xfId="13" applyNumberFormat="1" applyFont="1" applyFill="1" applyBorder="1" applyAlignment="1">
      <alignment horizontal="right"/>
    </xf>
    <xf numFmtId="4" fontId="25" fillId="8" borderId="20" xfId="13" applyNumberFormat="1" applyFont="1" applyFill="1" applyBorder="1" applyAlignment="1">
      <alignment horizontal="right"/>
    </xf>
    <xf numFmtId="0" fontId="25" fillId="7" borderId="21" xfId="13" applyFont="1" applyFill="1" applyBorder="1" applyAlignment="1">
      <alignment horizontal="center"/>
    </xf>
    <xf numFmtId="0" fontId="25" fillId="7" borderId="17" xfId="13" applyFont="1" applyFill="1" applyBorder="1" applyAlignment="1">
      <alignment horizontal="center"/>
    </xf>
    <xf numFmtId="4" fontId="25" fillId="7" borderId="20" xfId="13" applyNumberFormat="1" applyFont="1" applyFill="1" applyBorder="1" applyAlignment="1">
      <alignment horizontal="right"/>
    </xf>
    <xf numFmtId="4" fontId="25" fillId="6" borderId="33" xfId="13" applyNumberFormat="1" applyFont="1" applyFill="1" applyBorder="1" applyAlignment="1">
      <alignment horizontal="right" wrapText="1"/>
    </xf>
    <xf numFmtId="3" fontId="25" fillId="8" borderId="33" xfId="13" applyNumberFormat="1" applyFont="1" applyFill="1" applyBorder="1" applyAlignment="1">
      <alignment horizontal="center" wrapText="1"/>
    </xf>
    <xf numFmtId="3" fontId="25" fillId="8" borderId="30" xfId="13" applyNumberFormat="1" applyFont="1" applyFill="1" applyBorder="1" applyAlignment="1">
      <alignment horizontal="center" wrapText="1"/>
    </xf>
    <xf numFmtId="2" fontId="25" fillId="8" borderId="30" xfId="13" applyNumberFormat="1" applyFont="1" applyFill="1" applyBorder="1" applyAlignment="1">
      <alignment horizontal="right" wrapText="1"/>
    </xf>
    <xf numFmtId="4" fontId="25" fillId="8" borderId="31" xfId="13" applyNumberFormat="1" applyFont="1" applyFill="1" applyBorder="1" applyAlignment="1">
      <alignment horizontal="right" wrapText="1"/>
    </xf>
    <xf numFmtId="3" fontId="25" fillId="7" borderId="30" xfId="13" applyNumberFormat="1" applyFont="1" applyFill="1" applyBorder="1" applyAlignment="1">
      <alignment horizontal="center" wrapText="1"/>
    </xf>
    <xf numFmtId="4" fontId="25" fillId="7" borderId="30" xfId="13" applyNumberFormat="1" applyFont="1" applyFill="1" applyBorder="1" applyAlignment="1">
      <alignment horizontal="right" wrapText="1"/>
    </xf>
    <xf numFmtId="2" fontId="25" fillId="7" borderId="92" xfId="13" applyNumberFormat="1" applyFont="1" applyFill="1" applyBorder="1" applyAlignment="1">
      <alignment horizontal="right" wrapText="1"/>
    </xf>
    <xf numFmtId="4" fontId="25" fillId="7" borderId="31" xfId="13" applyNumberFormat="1" applyFont="1" applyFill="1" applyBorder="1" applyAlignment="1">
      <alignment horizontal="right" wrapText="1"/>
    </xf>
    <xf numFmtId="0" fontId="28" fillId="7" borderId="93" xfId="0" applyFont="1" applyFill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4" fontId="32" fillId="7" borderId="20" xfId="0" applyNumberFormat="1" applyFont="1" applyFill="1" applyBorder="1" applyAlignment="1">
      <alignment vertical="center"/>
    </xf>
    <xf numFmtId="4" fontId="32" fillId="7" borderId="34" xfId="0" applyNumberFormat="1" applyFont="1" applyFill="1" applyBorder="1" applyAlignment="1">
      <alignment vertical="center"/>
    </xf>
    <xf numFmtId="4" fontId="34" fillId="0" borderId="4" xfId="0" applyNumberFormat="1" applyFont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53" xfId="0" applyFont="1" applyBorder="1" applyAlignment="1">
      <alignment vertical="center"/>
    </xf>
    <xf numFmtId="4" fontId="27" fillId="0" borderId="53" xfId="0" applyNumberFormat="1" applyFont="1" applyBorder="1" applyAlignment="1">
      <alignment vertical="center"/>
    </xf>
    <xf numFmtId="4" fontId="27" fillId="13" borderId="2" xfId="0" applyNumberFormat="1" applyFont="1" applyFill="1" applyBorder="1" applyAlignment="1">
      <alignment vertical="center"/>
    </xf>
    <xf numFmtId="4" fontId="27" fillId="14" borderId="4" xfId="0" applyNumberFormat="1" applyFont="1" applyFill="1" applyBorder="1" applyAlignment="1">
      <alignment vertical="center"/>
    </xf>
    <xf numFmtId="4" fontId="27" fillId="12" borderId="2" xfId="0" applyNumberFormat="1" applyFont="1" applyFill="1" applyBorder="1" applyAlignment="1">
      <alignment vertical="center"/>
    </xf>
    <xf numFmtId="0" fontId="28" fillId="0" borderId="15" xfId="0" applyFont="1" applyFill="1" applyBorder="1" applyAlignment="1">
      <alignment vertical="center" wrapText="1"/>
    </xf>
    <xf numFmtId="0" fontId="0" fillId="0" borderId="83" xfId="0" applyFont="1" applyBorder="1"/>
    <xf numFmtId="4" fontId="0" fillId="0" borderId="83" xfId="0" applyNumberFormat="1" applyFont="1" applyBorder="1"/>
    <xf numFmtId="0" fontId="0" fillId="0" borderId="85" xfId="0" applyFont="1" applyBorder="1"/>
    <xf numFmtId="0" fontId="28" fillId="0" borderId="46" xfId="0" applyFont="1" applyBorder="1" applyAlignment="1">
      <alignment wrapText="1"/>
    </xf>
    <xf numFmtId="0" fontId="28" fillId="0" borderId="83" xfId="0" applyFont="1" applyBorder="1" applyAlignment="1">
      <alignment vertical="center"/>
    </xf>
    <xf numFmtId="4" fontId="28" fillId="0" borderId="83" xfId="0" applyNumberFormat="1" applyFont="1" applyBorder="1" applyAlignment="1">
      <alignment vertical="center"/>
    </xf>
    <xf numFmtId="4" fontId="27" fillId="12" borderId="74" xfId="0" applyNumberFormat="1" applyFont="1" applyFill="1" applyBorder="1" applyAlignment="1">
      <alignment vertical="center"/>
    </xf>
    <xf numFmtId="4" fontId="27" fillId="13" borderId="74" xfId="0" applyNumberFormat="1" applyFont="1" applyFill="1" applyBorder="1" applyAlignment="1">
      <alignment vertical="center"/>
    </xf>
    <xf numFmtId="4" fontId="27" fillId="14" borderId="94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4" fontId="25" fillId="8" borderId="5" xfId="13" applyNumberFormat="1" applyFont="1" applyFill="1" applyBorder="1" applyAlignment="1">
      <alignment horizontal="right"/>
    </xf>
    <xf numFmtId="4" fontId="25" fillId="8" borderId="30" xfId="13" applyNumberFormat="1" applyFont="1" applyFill="1" applyBorder="1" applyAlignment="1">
      <alignment wrapText="1"/>
    </xf>
    <xf numFmtId="4" fontId="25" fillId="8" borderId="17" xfId="13" applyNumberFormat="1" applyFont="1" applyFill="1" applyBorder="1" applyAlignment="1"/>
    <xf numFmtId="4" fontId="25" fillId="8" borderId="19" xfId="13" applyNumberFormat="1" applyFont="1" applyFill="1" applyBorder="1" applyAlignment="1"/>
    <xf numFmtId="2" fontId="25" fillId="8" borderId="19" xfId="13" applyNumberFormat="1" applyFont="1" applyFill="1" applyBorder="1" applyAlignment="1"/>
    <xf numFmtId="4" fontId="25" fillId="8" borderId="5" xfId="13" applyNumberFormat="1" applyFont="1" applyFill="1" applyBorder="1" applyAlignment="1">
      <alignment wrapText="1"/>
    </xf>
    <xf numFmtId="0" fontId="28" fillId="0" borderId="26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23" xfId="0" applyBorder="1"/>
    <xf numFmtId="0" fontId="0" fillId="0" borderId="17" xfId="0" applyBorder="1"/>
    <xf numFmtId="4" fontId="0" fillId="0" borderId="17" xfId="0" applyNumberFormat="1" applyBorder="1"/>
    <xf numFmtId="2" fontId="0" fillId="0" borderId="17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17" xfId="0" applyNumberFormat="1" applyBorder="1"/>
    <xf numFmtId="0" fontId="0" fillId="0" borderId="18" xfId="0" applyBorder="1"/>
    <xf numFmtId="0" fontId="0" fillId="0" borderId="19" xfId="0" applyBorder="1"/>
    <xf numFmtId="4" fontId="0" fillId="0" borderId="19" xfId="0" applyNumberFormat="1" applyBorder="1"/>
    <xf numFmtId="164" fontId="0" fillId="0" borderId="34" xfId="0" applyNumberFormat="1" applyBorder="1"/>
    <xf numFmtId="164" fontId="0" fillId="0" borderId="36" xfId="0" applyNumberFormat="1" applyBorder="1"/>
    <xf numFmtId="164" fontId="0" fillId="0" borderId="19" xfId="0" applyNumberFormat="1" applyBorder="1"/>
    <xf numFmtId="0" fontId="0" fillId="0" borderId="39" xfId="0" applyBorder="1"/>
    <xf numFmtId="0" fontId="0" fillId="0" borderId="40" xfId="0" applyBorder="1"/>
    <xf numFmtId="4" fontId="0" fillId="0" borderId="40" xfId="0" applyNumberFormat="1" applyBorder="1"/>
    <xf numFmtId="164" fontId="0" fillId="0" borderId="41" xfId="0" applyNumberFormat="1" applyBorder="1"/>
    <xf numFmtId="164" fontId="0" fillId="0" borderId="95" xfId="0" applyNumberFormat="1" applyBorder="1"/>
    <xf numFmtId="164" fontId="0" fillId="0" borderId="40" xfId="0" applyNumberFormat="1" applyBorder="1"/>
    <xf numFmtId="0" fontId="28" fillId="0" borderId="15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4" fontId="28" fillId="0" borderId="2" xfId="0" applyNumberFormat="1" applyFont="1" applyBorder="1" applyAlignment="1">
      <alignment vertical="center"/>
    </xf>
    <xf numFmtId="0" fontId="28" fillId="0" borderId="2" xfId="0" applyFont="1" applyBorder="1" applyAlignment="1">
      <alignment horizontal="center" vertical="center"/>
    </xf>
    <xf numFmtId="164" fontId="28" fillId="0" borderId="4" xfId="0" applyNumberFormat="1" applyFont="1" applyBorder="1" applyAlignment="1">
      <alignment vertical="center"/>
    </xf>
    <xf numFmtId="164" fontId="28" fillId="0" borderId="9" xfId="0" applyNumberFormat="1" applyFont="1" applyBorder="1" applyAlignment="1">
      <alignment vertical="center"/>
    </xf>
    <xf numFmtId="164" fontId="28" fillId="0" borderId="2" xfId="0" applyNumberFormat="1" applyFont="1" applyBorder="1" applyAlignment="1">
      <alignment vertical="center"/>
    </xf>
    <xf numFmtId="0" fontId="28" fillId="0" borderId="0" xfId="0" applyFont="1" applyAlignment="1">
      <alignment vertical="center" wrapText="1"/>
    </xf>
    <xf numFmtId="164" fontId="0" fillId="0" borderId="0" xfId="0" applyNumberFormat="1"/>
    <xf numFmtId="2" fontId="0" fillId="0" borderId="19" xfId="0" applyNumberFormat="1" applyBorder="1"/>
    <xf numFmtId="2" fontId="0" fillId="0" borderId="40" xfId="0" applyNumberFormat="1" applyBorder="1"/>
    <xf numFmtId="2" fontId="0" fillId="0" borderId="17" xfId="0" applyNumberFormat="1" applyFont="1" applyBorder="1"/>
    <xf numFmtId="0" fontId="0" fillId="0" borderId="44" xfId="0" applyBorder="1"/>
    <xf numFmtId="4" fontId="0" fillId="0" borderId="25" xfId="0" applyNumberFormat="1" applyBorder="1"/>
    <xf numFmtId="2" fontId="0" fillId="0" borderId="25" xfId="0" applyNumberFormat="1" applyBorder="1"/>
    <xf numFmtId="164" fontId="0" fillId="0" borderId="43" xfId="0" applyNumberFormat="1" applyBorder="1"/>
    <xf numFmtId="164" fontId="0" fillId="0" borderId="24" xfId="0" applyNumberFormat="1" applyBorder="1"/>
    <xf numFmtId="164" fontId="0" fillId="0" borderId="25" xfId="0" applyNumberFormat="1" applyBorder="1"/>
    <xf numFmtId="3" fontId="0" fillId="0" borderId="19" xfId="0" applyNumberFormat="1" applyBorder="1"/>
    <xf numFmtId="3" fontId="0" fillId="0" borderId="25" xfId="0" applyNumberFormat="1" applyBorder="1"/>
    <xf numFmtId="1" fontId="2" fillId="15" borderId="18" xfId="13" applyNumberFormat="1" applyFont="1" applyFill="1" applyBorder="1" applyAlignment="1">
      <alignment horizontal="center" wrapText="1"/>
    </xf>
    <xf numFmtId="1" fontId="2" fillId="15" borderId="19" xfId="13" applyNumberFormat="1" applyFont="1" applyFill="1" applyBorder="1" applyAlignment="1">
      <alignment horizontal="center" wrapText="1"/>
    </xf>
    <xf numFmtId="4" fontId="28" fillId="0" borderId="0" xfId="0" applyNumberFormat="1" applyFont="1" applyAlignment="1">
      <alignment vertical="center" wrapText="1"/>
    </xf>
    <xf numFmtId="0" fontId="23" fillId="0" borderId="0" xfId="0" applyFont="1"/>
    <xf numFmtId="164" fontId="23" fillId="0" borderId="0" xfId="0" applyNumberFormat="1" applyFont="1"/>
    <xf numFmtId="0" fontId="23" fillId="0" borderId="0" xfId="0" applyFont="1" applyAlignment="1">
      <alignment horizontal="left"/>
    </xf>
    <xf numFmtId="2" fontId="21" fillId="0" borderId="40" xfId="0" applyNumberFormat="1" applyFont="1" applyFill="1" applyBorder="1"/>
    <xf numFmtId="2" fontId="21" fillId="0" borderId="17" xfId="0" applyNumberFormat="1" applyFont="1" applyFill="1" applyBorder="1"/>
    <xf numFmtId="2" fontId="21" fillId="0" borderId="19" xfId="0" applyNumberFormat="1" applyFont="1" applyFill="1" applyBorder="1"/>
    <xf numFmtId="3" fontId="0" fillId="0" borderId="17" xfId="0" applyNumberFormat="1" applyBorder="1"/>
    <xf numFmtId="3" fontId="0" fillId="0" borderId="40" xfId="0" applyNumberFormat="1" applyBorder="1"/>
    <xf numFmtId="0" fontId="24" fillId="0" borderId="0" xfId="0" applyFont="1"/>
    <xf numFmtId="0" fontId="28" fillId="12" borderId="27" xfId="0" applyFont="1" applyFill="1" applyBorder="1" applyAlignment="1">
      <alignment horizontal="center" vertical="center" wrapText="1"/>
    </xf>
    <xf numFmtId="3" fontId="32" fillId="12" borderId="23" xfId="0" applyNumberFormat="1" applyFont="1" applyFill="1" applyBorder="1" applyAlignment="1">
      <alignment horizontal="center" vertical="center"/>
    </xf>
    <xf numFmtId="3" fontId="32" fillId="12" borderId="18" xfId="0" applyNumberFormat="1" applyFont="1" applyFill="1" applyBorder="1" applyAlignment="1">
      <alignment horizontal="center" vertical="center"/>
    </xf>
    <xf numFmtId="3" fontId="32" fillId="12" borderId="19" xfId="0" applyNumberFormat="1" applyFont="1" applyFill="1" applyBorder="1" applyAlignment="1">
      <alignment horizontal="center" vertical="center"/>
    </xf>
    <xf numFmtId="3" fontId="34" fillId="12" borderId="15" xfId="0" applyNumberFormat="1" applyFont="1" applyFill="1" applyBorder="1" applyAlignment="1">
      <alignment horizontal="center" vertical="center"/>
    </xf>
    <xf numFmtId="3" fontId="34" fillId="12" borderId="9" xfId="0" applyNumberFormat="1" applyFont="1" applyFill="1" applyBorder="1" applyAlignment="1">
      <alignment horizontal="center" vertical="center"/>
    </xf>
    <xf numFmtId="3" fontId="32" fillId="13" borderId="17" xfId="0" applyNumberFormat="1" applyFont="1" applyFill="1" applyBorder="1" applyAlignment="1">
      <alignment horizontal="center" vertical="center"/>
    </xf>
    <xf numFmtId="3" fontId="32" fillId="13" borderId="56" xfId="0" applyNumberFormat="1" applyFont="1" applyFill="1" applyBorder="1" applyAlignment="1">
      <alignment horizontal="center" vertical="center"/>
    </xf>
    <xf numFmtId="3" fontId="32" fillId="13" borderId="19" xfId="0" applyNumberFormat="1" applyFont="1" applyFill="1" applyBorder="1" applyAlignment="1">
      <alignment horizontal="center" vertical="center"/>
    </xf>
    <xf numFmtId="3" fontId="32" fillId="13" borderId="57" xfId="0" applyNumberFormat="1" applyFont="1" applyFill="1" applyBorder="1" applyAlignment="1">
      <alignment horizontal="center" vertical="center"/>
    </xf>
    <xf numFmtId="3" fontId="34" fillId="13" borderId="9" xfId="0" applyNumberFormat="1" applyFont="1" applyFill="1" applyBorder="1" applyAlignment="1">
      <alignment horizontal="center" vertical="center"/>
    </xf>
    <xf numFmtId="0" fontId="28" fillId="14" borderId="5" xfId="0" applyFont="1" applyFill="1" applyBorder="1" applyAlignment="1">
      <alignment horizontal="center" vertical="center" wrapText="1"/>
    </xf>
    <xf numFmtId="0" fontId="28" fillId="14" borderId="26" xfId="0" applyFont="1" applyFill="1" applyBorder="1" applyAlignment="1">
      <alignment horizontal="center" vertical="center" wrapText="1"/>
    </xf>
    <xf numFmtId="3" fontId="32" fillId="14" borderId="56" xfId="0" applyNumberFormat="1" applyFont="1" applyFill="1" applyBorder="1" applyAlignment="1">
      <alignment horizontal="center" vertical="center"/>
    </xf>
    <xf numFmtId="3" fontId="32" fillId="14" borderId="57" xfId="0" applyNumberFormat="1" applyFont="1" applyFill="1" applyBorder="1" applyAlignment="1">
      <alignment horizontal="center" vertical="center"/>
    </xf>
    <xf numFmtId="3" fontId="32" fillId="14" borderId="19" xfId="0" applyNumberFormat="1" applyFont="1" applyFill="1" applyBorder="1" applyAlignment="1">
      <alignment horizontal="center" vertical="center"/>
    </xf>
    <xf numFmtId="3" fontId="34" fillId="14" borderId="2" xfId="0" applyNumberFormat="1" applyFont="1" applyFill="1" applyBorder="1" applyAlignment="1">
      <alignment horizontal="center" vertical="center"/>
    </xf>
    <xf numFmtId="3" fontId="34" fillId="14" borderId="9" xfId="0" applyNumberFormat="1" applyFont="1" applyFill="1" applyBorder="1" applyAlignment="1">
      <alignment horizontal="center" vertical="center"/>
    </xf>
    <xf numFmtId="4" fontId="27" fillId="0" borderId="0" xfId="0" applyNumberFormat="1" applyFont="1" applyAlignment="1">
      <alignment vertical="center" wrapText="1"/>
    </xf>
    <xf numFmtId="10" fontId="37" fillId="0" borderId="0" xfId="13" applyNumberFormat="1" applyFont="1"/>
    <xf numFmtId="0" fontId="29" fillId="0" borderId="0" xfId="13" applyFont="1" applyAlignment="1">
      <alignment horizontal="center"/>
    </xf>
    <xf numFmtId="0" fontId="29" fillId="0" borderId="0" xfId="13" applyFont="1" applyAlignment="1">
      <alignment horizontal="right"/>
    </xf>
    <xf numFmtId="4" fontId="29" fillId="0" borderId="0" xfId="13" applyNumberFormat="1" applyFont="1" applyAlignment="1">
      <alignment horizontal="center"/>
    </xf>
    <xf numFmtId="3" fontId="29" fillId="0" borderId="0" xfId="13" applyNumberFormat="1" applyFont="1" applyAlignment="1">
      <alignment horizontal="center"/>
    </xf>
    <xf numFmtId="10" fontId="29" fillId="0" borderId="0" xfId="13" applyNumberFormat="1" applyFont="1" applyAlignment="1">
      <alignment horizontal="right"/>
    </xf>
    <xf numFmtId="4" fontId="32" fillId="14" borderId="31" xfId="0" applyNumberFormat="1" applyFont="1" applyFill="1" applyBorder="1" applyAlignment="1">
      <alignment vertical="center"/>
    </xf>
    <xf numFmtId="4" fontId="32" fillId="14" borderId="20" xfId="0" applyNumberFormat="1" applyFont="1" applyFill="1" applyBorder="1" applyAlignment="1">
      <alignment vertical="center"/>
    </xf>
    <xf numFmtId="1" fontId="3" fillId="0" borderId="2" xfId="13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vertical="center"/>
    </xf>
    <xf numFmtId="0" fontId="32" fillId="0" borderId="96" xfId="0" applyFont="1" applyBorder="1" applyAlignment="1">
      <alignment vertical="center" wrapText="1"/>
    </xf>
    <xf numFmtId="0" fontId="19" fillId="0" borderId="0" xfId="0" applyFont="1"/>
    <xf numFmtId="0" fontId="27" fillId="0" borderId="0" xfId="0" applyFont="1"/>
    <xf numFmtId="4" fontId="27" fillId="0" borderId="0" xfId="0" applyNumberFormat="1" applyFont="1"/>
    <xf numFmtId="0" fontId="0" fillId="0" borderId="0" xfId="0" applyAlignment="1">
      <alignment wrapText="1"/>
    </xf>
    <xf numFmtId="0" fontId="28" fillId="12" borderId="5" xfId="0" applyFont="1" applyFill="1" applyBorder="1" applyAlignment="1">
      <alignment horizontal="center" vertical="center" wrapText="1"/>
    </xf>
    <xf numFmtId="3" fontId="32" fillId="14" borderId="17" xfId="0" applyNumberFormat="1" applyFont="1" applyFill="1" applyBorder="1" applyAlignment="1">
      <alignment vertical="center"/>
    </xf>
    <xf numFmtId="0" fontId="28" fillId="13" borderId="5" xfId="0" applyFont="1" applyFill="1" applyBorder="1" applyAlignment="1">
      <alignment horizontal="center" vertical="center" wrapText="1"/>
    </xf>
    <xf numFmtId="3" fontId="32" fillId="13" borderId="56" xfId="0" applyNumberFormat="1" applyFont="1" applyFill="1" applyBorder="1" applyAlignment="1">
      <alignment vertical="center"/>
    </xf>
    <xf numFmtId="3" fontId="32" fillId="13" borderId="57" xfId="0" applyNumberFormat="1" applyFont="1" applyFill="1" applyBorder="1" applyAlignment="1">
      <alignment vertical="center"/>
    </xf>
    <xf numFmtId="4" fontId="32" fillId="12" borderId="21" xfId="0" applyNumberFormat="1" applyFont="1" applyFill="1" applyBorder="1" applyAlignment="1">
      <alignment vertical="center"/>
    </xf>
    <xf numFmtId="0" fontId="28" fillId="12" borderId="16" xfId="0" applyFont="1" applyFill="1" applyBorder="1" applyAlignment="1">
      <alignment horizontal="center" vertical="center" wrapText="1"/>
    </xf>
    <xf numFmtId="3" fontId="32" fillId="12" borderId="30" xfId="0" applyNumberFormat="1" applyFont="1" applyFill="1" applyBorder="1" applyAlignment="1">
      <alignment horizontal="center" vertical="center"/>
    </xf>
    <xf numFmtId="3" fontId="32" fillId="12" borderId="5" xfId="0" applyNumberFormat="1" applyFont="1" applyFill="1" applyBorder="1" applyAlignment="1">
      <alignment horizontal="center" vertical="center"/>
    </xf>
    <xf numFmtId="0" fontId="28" fillId="12" borderId="17" xfId="0" applyFont="1" applyFill="1" applyBorder="1" applyAlignment="1">
      <alignment horizontal="center" vertical="center" wrapText="1"/>
    </xf>
    <xf numFmtId="0" fontId="28" fillId="12" borderId="19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3" fontId="32" fillId="14" borderId="5" xfId="0" applyNumberFormat="1" applyFont="1" applyFill="1" applyBorder="1" applyAlignment="1">
      <alignment vertical="center"/>
    </xf>
    <xf numFmtId="0" fontId="33" fillId="0" borderId="55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40" fillId="6" borderId="53" xfId="0" applyFont="1" applyFill="1" applyBorder="1" applyAlignment="1">
      <alignment vertical="center" wrapText="1"/>
    </xf>
    <xf numFmtId="0" fontId="28" fillId="13" borderId="26" xfId="0" applyFont="1" applyFill="1" applyBorder="1" applyAlignment="1">
      <alignment horizontal="center" vertical="center" wrapText="1"/>
    </xf>
    <xf numFmtId="3" fontId="27" fillId="14" borderId="2" xfId="0" applyNumberFormat="1" applyFont="1" applyFill="1" applyBorder="1" applyAlignment="1">
      <alignment vertical="center"/>
    </xf>
    <xf numFmtId="3" fontId="2" fillId="8" borderId="23" xfId="13" applyNumberFormat="1" applyFont="1" applyFill="1" applyBorder="1" applyAlignment="1">
      <alignment horizontal="center" wrapText="1"/>
    </xf>
    <xf numFmtId="0" fontId="8" fillId="0" borderId="0" xfId="13" applyFont="1" applyAlignment="1">
      <alignment horizontal="right" vertical="center"/>
    </xf>
    <xf numFmtId="0" fontId="7" fillId="0" borderId="0" xfId="13" applyFont="1" applyAlignment="1">
      <alignment horizontal="center" vertical="center" wrapText="1"/>
    </xf>
    <xf numFmtId="0" fontId="27" fillId="4" borderId="102" xfId="13" applyFont="1" applyFill="1" applyBorder="1" applyAlignment="1">
      <alignment horizontal="left" vertical="center"/>
    </xf>
    <xf numFmtId="0" fontId="27" fillId="4" borderId="103" xfId="13" applyFont="1" applyFill="1" applyBorder="1" applyAlignment="1">
      <alignment horizontal="left" vertical="center"/>
    </xf>
    <xf numFmtId="0" fontId="12" fillId="13" borderId="33" xfId="13" applyFont="1" applyFill="1" applyBorder="1" applyAlignment="1">
      <alignment horizontal="center" vertical="center" wrapText="1"/>
    </xf>
    <xf numFmtId="0" fontId="12" fillId="13" borderId="30" xfId="13" applyFont="1" applyFill="1" applyBorder="1" applyAlignment="1">
      <alignment horizontal="center" vertical="center" wrapText="1"/>
    </xf>
    <xf numFmtId="0" fontId="12" fillId="13" borderId="31" xfId="13" applyFont="1" applyFill="1" applyBorder="1" applyAlignment="1">
      <alignment horizontal="center" vertical="center" wrapText="1"/>
    </xf>
    <xf numFmtId="0" fontId="6" fillId="0" borderId="30" xfId="13" applyFont="1" applyBorder="1" applyAlignment="1">
      <alignment horizontal="center" vertical="center"/>
    </xf>
    <xf numFmtId="0" fontId="6" fillId="0" borderId="19" xfId="13" applyFont="1" applyBorder="1" applyAlignment="1">
      <alignment horizontal="center" vertical="center"/>
    </xf>
    <xf numFmtId="0" fontId="6" fillId="0" borderId="5" xfId="13" applyFont="1" applyBorder="1" applyAlignment="1">
      <alignment horizontal="center" vertical="center"/>
    </xf>
    <xf numFmtId="165" fontId="29" fillId="0" borderId="0" xfId="13" applyNumberFormat="1" applyFont="1" applyAlignment="1">
      <alignment horizontal="left"/>
    </xf>
    <xf numFmtId="0" fontId="6" fillId="0" borderId="30" xfId="13" applyFont="1" applyBorder="1" applyAlignment="1">
      <alignment horizontal="center" vertical="center" wrapText="1"/>
    </xf>
    <xf numFmtId="0" fontId="6" fillId="0" borderId="19" xfId="13" applyFont="1" applyBorder="1" applyAlignment="1">
      <alignment horizontal="center" vertical="center" wrapText="1"/>
    </xf>
    <xf numFmtId="0" fontId="6" fillId="0" borderId="5" xfId="13" applyFont="1" applyBorder="1" applyAlignment="1">
      <alignment horizontal="center" vertical="center" wrapText="1"/>
    </xf>
    <xf numFmtId="0" fontId="12" fillId="12" borderId="29" xfId="13" applyFont="1" applyFill="1" applyBorder="1" applyAlignment="1">
      <alignment horizontal="center" vertical="center" wrapText="1"/>
    </xf>
    <xf numFmtId="0" fontId="12" fillId="12" borderId="30" xfId="13" applyFont="1" applyFill="1" applyBorder="1" applyAlignment="1">
      <alignment horizontal="center" vertical="center" wrapText="1"/>
    </xf>
    <xf numFmtId="0" fontId="12" fillId="12" borderId="31" xfId="13" applyFont="1" applyFill="1" applyBorder="1" applyAlignment="1">
      <alignment horizontal="center" vertical="center" wrapText="1"/>
    </xf>
    <xf numFmtId="0" fontId="12" fillId="16" borderId="21" xfId="13" applyFont="1" applyFill="1" applyBorder="1" applyAlignment="1">
      <alignment horizontal="center" vertical="center" wrapText="1"/>
    </xf>
    <xf numFmtId="0" fontId="12" fillId="16" borderId="17" xfId="13" applyFont="1" applyFill="1" applyBorder="1" applyAlignment="1">
      <alignment horizontal="center" vertical="center" wrapText="1"/>
    </xf>
    <xf numFmtId="0" fontId="12" fillId="16" borderId="20" xfId="13" applyFont="1" applyFill="1" applyBorder="1" applyAlignment="1">
      <alignment horizontal="center" vertical="center" wrapText="1"/>
    </xf>
    <xf numFmtId="0" fontId="27" fillId="0" borderId="8" xfId="13" applyFont="1" applyFill="1" applyBorder="1" applyAlignment="1">
      <alignment horizontal="left" vertical="center"/>
    </xf>
    <xf numFmtId="0" fontId="27" fillId="0" borderId="16" xfId="13" applyFont="1" applyFill="1" applyBorder="1" applyAlignment="1">
      <alignment horizontal="left" vertical="center"/>
    </xf>
    <xf numFmtId="0" fontId="7" fillId="0" borderId="0" xfId="13" applyFont="1" applyAlignment="1">
      <alignment horizontal="center"/>
    </xf>
    <xf numFmtId="0" fontId="6" fillId="0" borderId="31" xfId="13" applyFont="1" applyBorder="1" applyAlignment="1">
      <alignment horizontal="center" vertical="center" wrapText="1"/>
    </xf>
    <xf numFmtId="0" fontId="6" fillId="0" borderId="34" xfId="13" applyFont="1" applyBorder="1" applyAlignment="1">
      <alignment horizontal="center" vertical="center" wrapText="1"/>
    </xf>
    <xf numFmtId="0" fontId="6" fillId="0" borderId="13" xfId="13" applyFont="1" applyBorder="1" applyAlignment="1">
      <alignment horizontal="center" vertical="center" wrapText="1"/>
    </xf>
    <xf numFmtId="0" fontId="6" fillId="6" borderId="17" xfId="13" applyFont="1" applyFill="1" applyBorder="1" applyAlignment="1">
      <alignment horizontal="center" vertical="center" wrapText="1"/>
    </xf>
    <xf numFmtId="0" fontId="6" fillId="6" borderId="5" xfId="13" applyFont="1" applyFill="1" applyBorder="1" applyAlignment="1">
      <alignment horizontal="center" vertical="center" wrapText="1"/>
    </xf>
    <xf numFmtId="4" fontId="4" fillId="0" borderId="101" xfId="13" applyNumberFormat="1" applyFont="1" applyBorder="1" applyAlignment="1">
      <alignment horizontal="center" vertical="center"/>
    </xf>
    <xf numFmtId="4" fontId="4" fillId="0" borderId="0" xfId="13" applyNumberFormat="1" applyFont="1" applyAlignment="1">
      <alignment horizontal="center" vertical="center"/>
    </xf>
    <xf numFmtId="0" fontId="6" fillId="0" borderId="97" xfId="13" applyFont="1" applyBorder="1" applyAlignment="1">
      <alignment horizontal="center" vertical="center" wrapText="1"/>
    </xf>
    <xf numFmtId="0" fontId="6" fillId="0" borderId="17" xfId="13" applyFont="1" applyBorder="1" applyAlignment="1">
      <alignment horizontal="center" vertical="center" wrapText="1"/>
    </xf>
    <xf numFmtId="0" fontId="5" fillId="3" borderId="92" xfId="13" applyFont="1" applyFill="1" applyBorder="1" applyAlignment="1">
      <alignment horizontal="center" vertical="center" wrapText="1"/>
    </xf>
    <xf numFmtId="0" fontId="5" fillId="3" borderId="99" xfId="13" applyFont="1" applyFill="1" applyBorder="1" applyAlignment="1">
      <alignment horizontal="center" vertical="center" wrapText="1"/>
    </xf>
    <xf numFmtId="0" fontId="5" fillId="3" borderId="33" xfId="13" applyFont="1" applyFill="1" applyBorder="1" applyAlignment="1">
      <alignment horizontal="center" vertical="center" wrapText="1"/>
    </xf>
    <xf numFmtId="0" fontId="6" fillId="0" borderId="83" xfId="13" applyFont="1" applyBorder="1" applyAlignment="1">
      <alignment horizontal="left" vertical="center"/>
    </xf>
    <xf numFmtId="0" fontId="6" fillId="0" borderId="10" xfId="13" applyFont="1" applyBorder="1" applyAlignment="1">
      <alignment horizontal="left" vertical="center"/>
    </xf>
    <xf numFmtId="0" fontId="10" fillId="13" borderId="81" xfId="13" applyFont="1" applyFill="1" applyBorder="1" applyAlignment="1">
      <alignment horizontal="center" vertical="center"/>
    </xf>
    <xf numFmtId="0" fontId="0" fillId="13" borderId="53" xfId="0" applyFill="1" applyBorder="1"/>
    <xf numFmtId="0" fontId="0" fillId="13" borderId="61" xfId="0" applyFill="1" applyBorder="1"/>
    <xf numFmtId="0" fontId="5" fillId="3" borderId="100" xfId="13" applyFont="1" applyFill="1" applyBorder="1" applyAlignment="1">
      <alignment horizontal="center" vertical="center" wrapText="1"/>
    </xf>
    <xf numFmtId="0" fontId="6" fillId="6" borderId="32" xfId="13" applyFont="1" applyFill="1" applyBorder="1" applyAlignment="1">
      <alignment horizontal="center" vertical="center" wrapText="1"/>
    </xf>
    <xf numFmtId="0" fontId="6" fillId="6" borderId="28" xfId="13" applyFont="1" applyFill="1" applyBorder="1" applyAlignment="1">
      <alignment horizontal="center" vertical="center" wrapText="1"/>
    </xf>
    <xf numFmtId="0" fontId="6" fillId="4" borderId="99" xfId="13" applyFont="1" applyFill="1" applyBorder="1" applyAlignment="1">
      <alignment horizontal="center" vertical="center" wrapText="1"/>
    </xf>
    <xf numFmtId="0" fontId="6" fillId="4" borderId="33" xfId="13" applyFont="1" applyFill="1" applyBorder="1" applyAlignment="1">
      <alignment horizontal="center" vertical="center" wrapText="1"/>
    </xf>
    <xf numFmtId="0" fontId="5" fillId="0" borderId="77" xfId="13" applyFont="1" applyBorder="1" applyAlignment="1">
      <alignment horizontal="center" vertical="center" textRotation="90" wrapText="1"/>
    </xf>
    <xf numFmtId="0" fontId="5" fillId="0" borderId="87" xfId="13" applyFont="1" applyBorder="1" applyAlignment="1">
      <alignment horizontal="center" vertical="center" textRotation="90"/>
    </xf>
    <xf numFmtId="0" fontId="6" fillId="0" borderId="53" xfId="13" applyFont="1" applyBorder="1" applyAlignment="1">
      <alignment horizontal="left" vertical="center"/>
    </xf>
    <xf numFmtId="0" fontId="6" fillId="0" borderId="9" xfId="13" applyFont="1" applyBorder="1" applyAlignment="1">
      <alignment horizontal="left" vertical="center"/>
    </xf>
    <xf numFmtId="0" fontId="29" fillId="0" borderId="0" xfId="13" applyFont="1" applyAlignment="1">
      <alignment horizontal="left"/>
    </xf>
    <xf numFmtId="0" fontId="6" fillId="0" borderId="97" xfId="13" applyFont="1" applyBorder="1" applyAlignment="1">
      <alignment horizontal="center" vertical="center" textRotation="90"/>
    </xf>
    <xf numFmtId="0" fontId="6" fillId="0" borderId="25" xfId="13" applyFont="1" applyBorder="1" applyAlignment="1">
      <alignment horizontal="center" vertical="center" textRotation="90"/>
    </xf>
    <xf numFmtId="0" fontId="6" fillId="0" borderId="6" xfId="13" applyFont="1" applyBorder="1" applyAlignment="1">
      <alignment horizontal="center" vertical="center" textRotation="90"/>
    </xf>
    <xf numFmtId="0" fontId="6" fillId="0" borderId="66" xfId="13" applyFont="1" applyBorder="1" applyAlignment="1">
      <alignment horizontal="center" vertical="center" textRotation="90"/>
    </xf>
    <xf numFmtId="0" fontId="6" fillId="0" borderId="44" xfId="13" applyFont="1" applyBorder="1" applyAlignment="1">
      <alignment horizontal="center" vertical="center" textRotation="90"/>
    </xf>
    <xf numFmtId="0" fontId="6" fillId="0" borderId="42" xfId="13" applyFont="1" applyBorder="1" applyAlignment="1">
      <alignment horizontal="center" vertical="center" textRotation="90"/>
    </xf>
    <xf numFmtId="0" fontId="27" fillId="0" borderId="77" xfId="13" applyFont="1" applyBorder="1" applyAlignment="1">
      <alignment horizontal="center" vertical="center" textRotation="90" wrapText="1"/>
    </xf>
    <xf numFmtId="0" fontId="27" fillId="0" borderId="87" xfId="13" applyFont="1" applyBorder="1" applyAlignment="1">
      <alignment horizontal="center" vertical="center" textRotation="90" wrapText="1"/>
    </xf>
    <xf numFmtId="0" fontId="27" fillId="0" borderId="98" xfId="13" applyFont="1" applyBorder="1" applyAlignment="1">
      <alignment horizontal="center" vertical="center" textRotation="90" wrapText="1"/>
    </xf>
    <xf numFmtId="0" fontId="6" fillId="0" borderId="105" xfId="13" applyFont="1" applyBorder="1" applyAlignment="1">
      <alignment horizontal="center" vertical="center" wrapText="1"/>
    </xf>
    <xf numFmtId="0" fontId="6" fillId="0" borderId="43" xfId="13" applyFont="1" applyBorder="1" applyAlignment="1">
      <alignment horizontal="center" vertical="center" wrapText="1"/>
    </xf>
    <xf numFmtId="0" fontId="6" fillId="0" borderId="37" xfId="13" applyFont="1" applyBorder="1" applyAlignment="1">
      <alignment horizontal="center" vertical="center" wrapText="1"/>
    </xf>
    <xf numFmtId="0" fontId="6" fillId="5" borderId="61" xfId="13" applyFont="1" applyFill="1" applyBorder="1" applyAlignment="1">
      <alignment horizontal="center" vertical="center"/>
    </xf>
    <xf numFmtId="0" fontId="6" fillId="5" borderId="62" xfId="13" applyFont="1" applyFill="1" applyBorder="1" applyAlignment="1">
      <alignment horizontal="center" vertical="center"/>
    </xf>
    <xf numFmtId="0" fontId="6" fillId="9" borderId="99" xfId="13" applyFont="1" applyFill="1" applyBorder="1" applyAlignment="1">
      <alignment horizontal="center" vertical="center" wrapText="1"/>
    </xf>
    <xf numFmtId="0" fontId="6" fillId="9" borderId="100" xfId="13" applyFont="1" applyFill="1" applyBorder="1" applyAlignment="1">
      <alignment horizontal="center" vertical="center" wrapText="1"/>
    </xf>
    <xf numFmtId="0" fontId="12" fillId="12" borderId="60" xfId="13" applyFont="1" applyFill="1" applyBorder="1" applyAlignment="1">
      <alignment horizontal="center" vertical="center" wrapText="1"/>
    </xf>
    <xf numFmtId="0" fontId="12" fillId="12" borderId="65" xfId="13" applyFont="1" applyFill="1" applyBorder="1" applyAlignment="1">
      <alignment horizontal="center" vertical="center" wrapText="1"/>
    </xf>
    <xf numFmtId="0" fontId="12" fillId="12" borderId="63" xfId="13" applyFont="1" applyFill="1" applyBorder="1" applyAlignment="1">
      <alignment horizontal="center" vertical="center" wrapText="1"/>
    </xf>
    <xf numFmtId="0" fontId="12" fillId="13" borderId="60" xfId="13" applyFont="1" applyFill="1" applyBorder="1" applyAlignment="1">
      <alignment horizontal="center" vertical="center" wrapText="1"/>
    </xf>
    <xf numFmtId="0" fontId="12" fillId="13" borderId="65" xfId="13" applyFont="1" applyFill="1" applyBorder="1" applyAlignment="1">
      <alignment horizontal="center" vertical="center" wrapText="1"/>
    </xf>
    <xf numFmtId="0" fontId="12" fillId="13" borderId="63" xfId="13" applyFont="1" applyFill="1" applyBorder="1" applyAlignment="1">
      <alignment horizontal="center" vertical="center" wrapText="1"/>
    </xf>
    <xf numFmtId="0" fontId="12" fillId="14" borderId="65" xfId="13" applyFont="1" applyFill="1" applyBorder="1" applyAlignment="1">
      <alignment horizontal="center" vertical="center" wrapText="1"/>
    </xf>
    <xf numFmtId="0" fontId="12" fillId="14" borderId="63" xfId="13" applyFont="1" applyFill="1" applyBorder="1" applyAlignment="1">
      <alignment horizontal="center" vertical="center" wrapText="1"/>
    </xf>
    <xf numFmtId="0" fontId="10" fillId="6" borderId="81" xfId="13" applyFont="1" applyFill="1" applyBorder="1" applyAlignment="1">
      <alignment horizontal="center" vertical="center" wrapText="1"/>
    </xf>
    <xf numFmtId="0" fontId="10" fillId="6" borderId="53" xfId="13" applyFont="1" applyFill="1" applyBorder="1" applyAlignment="1">
      <alignment horizontal="center" vertical="center" wrapText="1"/>
    </xf>
    <xf numFmtId="0" fontId="10" fillId="6" borderId="61" xfId="13" applyFont="1" applyFill="1" applyBorder="1" applyAlignment="1">
      <alignment horizontal="center" vertical="center" wrapText="1"/>
    </xf>
    <xf numFmtId="0" fontId="2" fillId="0" borderId="0" xfId="13" applyFont="1" applyAlignment="1">
      <alignment horizontal="right" vertical="center"/>
    </xf>
    <xf numFmtId="0" fontId="15" fillId="0" borderId="0" xfId="0" applyFont="1" applyAlignment="1">
      <alignment horizontal="center" wrapText="1"/>
    </xf>
    <xf numFmtId="0" fontId="7" fillId="0" borderId="0" xfId="13" applyFont="1" applyAlignment="1">
      <alignment horizontal="center" wrapText="1"/>
    </xf>
    <xf numFmtId="0" fontId="13" fillId="0" borderId="0" xfId="13" applyFont="1" applyAlignment="1">
      <alignment horizontal="left" vertical="center" wrapText="1"/>
    </xf>
    <xf numFmtId="167" fontId="38" fillId="0" borderId="0" xfId="13" applyNumberFormat="1" applyFont="1" applyAlignment="1">
      <alignment horizontal="left"/>
    </xf>
    <xf numFmtId="0" fontId="6" fillId="6" borderId="104" xfId="13" applyFont="1" applyFill="1" applyBorder="1" applyAlignment="1">
      <alignment horizontal="center" vertical="center" wrapText="1"/>
    </xf>
    <xf numFmtId="0" fontId="6" fillId="6" borderId="54" xfId="13" applyFont="1" applyFill="1" applyBorder="1" applyAlignment="1">
      <alignment horizontal="center" vertical="center" wrapText="1"/>
    </xf>
    <xf numFmtId="0" fontId="6" fillId="0" borderId="29" xfId="13" applyFont="1" applyBorder="1" applyAlignment="1">
      <alignment horizontal="center" vertical="center"/>
    </xf>
    <xf numFmtId="0" fontId="6" fillId="0" borderId="18" xfId="13" applyFont="1" applyBorder="1" applyAlignment="1">
      <alignment horizontal="center" vertical="center"/>
    </xf>
    <xf numFmtId="0" fontId="6" fillId="0" borderId="27" xfId="13" applyFont="1" applyBorder="1" applyAlignment="1">
      <alignment horizontal="center" vertical="center"/>
    </xf>
    <xf numFmtId="0" fontId="6" fillId="0" borderId="25" xfId="13" applyFont="1" applyBorder="1" applyAlignment="1">
      <alignment horizontal="center" vertical="center" wrapText="1"/>
    </xf>
    <xf numFmtId="0" fontId="6" fillId="0" borderId="6" xfId="13" applyFont="1" applyBorder="1" applyAlignment="1">
      <alignment horizontal="center" vertical="center" wrapText="1"/>
    </xf>
    <xf numFmtId="0" fontId="14" fillId="0" borderId="0" xfId="13" applyFont="1" applyAlignment="1">
      <alignment horizontal="right" vertical="center"/>
    </xf>
    <xf numFmtId="0" fontId="6" fillId="6" borderId="107" xfId="13" applyFont="1" applyFill="1" applyBorder="1" applyAlignment="1">
      <alignment horizontal="center" vertical="center" wrapText="1"/>
    </xf>
    <xf numFmtId="0" fontId="6" fillId="6" borderId="108" xfId="13" applyFont="1" applyFill="1" applyBorder="1" applyAlignment="1">
      <alignment horizontal="center" vertical="center" wrapText="1"/>
    </xf>
    <xf numFmtId="165" fontId="3" fillId="0" borderId="0" xfId="13" applyNumberFormat="1" applyFont="1" applyAlignment="1">
      <alignment horizontal="left"/>
    </xf>
    <xf numFmtId="0" fontId="6" fillId="9" borderId="106" xfId="13" applyFont="1" applyFill="1" applyBorder="1" applyAlignment="1">
      <alignment horizontal="center" vertical="center" wrapText="1"/>
    </xf>
    <xf numFmtId="0" fontId="12" fillId="6" borderId="53" xfId="13" applyFont="1" applyFill="1" applyBorder="1" applyAlignment="1">
      <alignment horizontal="center" vertical="center" wrapText="1"/>
    </xf>
    <xf numFmtId="0" fontId="12" fillId="6" borderId="61" xfId="13" applyFont="1" applyFill="1" applyBorder="1" applyAlignment="1">
      <alignment horizontal="center" vertical="center" wrapText="1"/>
    </xf>
    <xf numFmtId="0" fontId="7" fillId="0" borderId="0" xfId="13" applyFont="1" applyAlignment="1">
      <alignment horizontal="left" vertical="center"/>
    </xf>
    <xf numFmtId="0" fontId="12" fillId="0" borderId="0" xfId="13" applyFont="1" applyAlignment="1">
      <alignment horizontal="center" wrapText="1"/>
    </xf>
    <xf numFmtId="0" fontId="12" fillId="0" borderId="0" xfId="13" applyFont="1" applyAlignment="1">
      <alignment horizontal="center"/>
    </xf>
    <xf numFmtId="0" fontId="14" fillId="0" borderId="0" xfId="13" applyFont="1" applyAlignment="1">
      <alignment horizontal="left" vertical="center" wrapText="1"/>
    </xf>
    <xf numFmtId="0" fontId="6" fillId="0" borderId="107" xfId="13" applyFont="1" applyBorder="1" applyAlignment="1">
      <alignment horizontal="center" vertical="center" wrapText="1"/>
    </xf>
    <xf numFmtId="0" fontId="6" fillId="0" borderId="109" xfId="13" applyFont="1" applyBorder="1" applyAlignment="1">
      <alignment horizontal="center" vertical="center" wrapText="1"/>
    </xf>
    <xf numFmtId="0" fontId="6" fillId="0" borderId="108" xfId="13" applyFont="1" applyBorder="1" applyAlignment="1">
      <alignment horizontal="center" vertical="center" wrapText="1"/>
    </xf>
    <xf numFmtId="0" fontId="12" fillId="6" borderId="81" xfId="13" applyFont="1" applyFill="1" applyBorder="1" applyAlignment="1">
      <alignment horizontal="center" vertical="center" wrapText="1"/>
    </xf>
    <xf numFmtId="0" fontId="12" fillId="0" borderId="0" xfId="13" applyFont="1" applyAlignment="1">
      <alignment horizontal="center" vertical="center" wrapText="1"/>
    </xf>
    <xf numFmtId="0" fontId="12" fillId="0" borderId="0" xfId="13" applyFont="1" applyAlignment="1">
      <alignment horizontal="center" vertical="center"/>
    </xf>
    <xf numFmtId="0" fontId="8" fillId="0" borderId="0" xfId="13" applyFont="1" applyAlignment="1">
      <alignment horizontal="left" vertical="center" wrapText="1"/>
    </xf>
    <xf numFmtId="0" fontId="6" fillId="6" borderId="106" xfId="13" applyFont="1" applyFill="1" applyBorder="1" applyAlignment="1">
      <alignment horizontal="center" vertical="center" wrapText="1"/>
    </xf>
    <xf numFmtId="0" fontId="6" fillId="6" borderId="99" xfId="13" applyFont="1" applyFill="1" applyBorder="1" applyAlignment="1">
      <alignment horizontal="center" vertical="center" wrapText="1"/>
    </xf>
    <xf numFmtId="0" fontId="6" fillId="6" borderId="100" xfId="13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0" fillId="6" borderId="53" xfId="0" applyFont="1" applyFill="1" applyBorder="1" applyAlignment="1">
      <alignment horizontal="center" vertical="center" wrapText="1"/>
    </xf>
    <xf numFmtId="0" fontId="27" fillId="6" borderId="53" xfId="0" applyFont="1" applyFill="1" applyBorder="1" applyAlignment="1">
      <alignment horizontal="center" vertical="center" wrapText="1"/>
    </xf>
    <xf numFmtId="0" fontId="27" fillId="6" borderId="6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25" fillId="0" borderId="0" xfId="0" applyFont="1" applyAlignment="1">
      <alignment horizontal="right" vertical="center"/>
    </xf>
    <xf numFmtId="0" fontId="27" fillId="0" borderId="84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14" borderId="92" xfId="0" applyFont="1" applyFill="1" applyBorder="1" applyAlignment="1">
      <alignment horizontal="center" vertical="center"/>
    </xf>
    <xf numFmtId="0" fontId="36" fillId="14" borderId="99" xfId="0" applyFont="1" applyFill="1" applyBorder="1" applyAlignment="1">
      <alignment horizontal="center" vertical="center"/>
    </xf>
    <xf numFmtId="0" fontId="36" fillId="14" borderId="100" xfId="0" applyFont="1" applyFill="1" applyBorder="1" applyAlignment="1">
      <alignment horizontal="center" vertical="center"/>
    </xf>
    <xf numFmtId="0" fontId="36" fillId="13" borderId="99" xfId="0" applyFont="1" applyFill="1" applyBorder="1" applyAlignment="1">
      <alignment horizontal="center" vertical="center"/>
    </xf>
    <xf numFmtId="0" fontId="36" fillId="13" borderId="33" xfId="0" applyFont="1" applyFill="1" applyBorder="1" applyAlignment="1">
      <alignment horizontal="center" vertical="center"/>
    </xf>
    <xf numFmtId="0" fontId="36" fillId="12" borderId="106" xfId="0" applyFont="1" applyFill="1" applyBorder="1" applyAlignment="1">
      <alignment horizontal="center" vertical="center" wrapText="1"/>
    </xf>
    <xf numFmtId="0" fontId="36" fillId="12" borderId="99" xfId="0" applyFont="1" applyFill="1" applyBorder="1" applyAlignment="1">
      <alignment horizontal="center" vertical="center" wrapText="1"/>
    </xf>
    <xf numFmtId="0" fontId="36" fillId="12" borderId="33" xfId="0" applyFont="1" applyFill="1" applyBorder="1" applyAlignment="1">
      <alignment horizontal="center" vertical="center" wrapText="1"/>
    </xf>
    <xf numFmtId="0" fontId="32" fillId="0" borderId="84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27" fillId="6" borderId="81" xfId="0" applyFont="1" applyFill="1" applyBorder="1" applyAlignment="1">
      <alignment horizontal="center" vertical="center" wrapText="1"/>
    </xf>
    <xf numFmtId="0" fontId="36" fillId="13" borderId="92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98" xfId="0" applyFont="1" applyBorder="1" applyAlignment="1">
      <alignment horizontal="center" vertical="center"/>
    </xf>
    <xf numFmtId="0" fontId="28" fillId="0" borderId="87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 wrapText="1"/>
    </xf>
    <xf numFmtId="0" fontId="28" fillId="0" borderId="110" xfId="0" applyFont="1" applyBorder="1" applyAlignment="1">
      <alignment horizontal="center" vertical="center" wrapText="1"/>
    </xf>
    <xf numFmtId="0" fontId="28" fillId="0" borderId="112" xfId="0" applyFont="1" applyBorder="1" applyAlignment="1">
      <alignment horizontal="center" vertical="center" wrapText="1"/>
    </xf>
    <xf numFmtId="0" fontId="28" fillId="0" borderId="111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</cellXfs>
  <cellStyles count="39">
    <cellStyle name="Normal" xfId="0" builtinId="0"/>
    <cellStyle name="Normal 14" xfId="1"/>
    <cellStyle name="Normal 14 2" xfId="2"/>
    <cellStyle name="Normal 14 3" xfId="3"/>
    <cellStyle name="Normal 15" xfId="4"/>
    <cellStyle name="Normal 15 2" xfId="5"/>
    <cellStyle name="Normal 15 3" xfId="6"/>
    <cellStyle name="Normal 16" xfId="7"/>
    <cellStyle name="Normal 16 2" xfId="8"/>
    <cellStyle name="Normal 16 3" xfId="9"/>
    <cellStyle name="Normal 17" xfId="10"/>
    <cellStyle name="Normal 17 2" xfId="11"/>
    <cellStyle name="Normal 17 3" xfId="12"/>
    <cellStyle name="Normal 2" xfId="13"/>
    <cellStyle name="Normal 2 2" xfId="14"/>
    <cellStyle name="Normal 2 3" xfId="15"/>
    <cellStyle name="Normal 2 4" xfId="16"/>
    <cellStyle name="Normal 2 5" xfId="17"/>
    <cellStyle name="Normal 2 6" xfId="18"/>
    <cellStyle name="Normal 2 7" xfId="19"/>
    <cellStyle name="Normal 2 8" xfId="20"/>
    <cellStyle name="Normal 2 9" xfId="21"/>
    <cellStyle name="Normal 3 2" xfId="22"/>
    <cellStyle name="Normal 4" xfId="23"/>
    <cellStyle name="Normal 4 2" xfId="24"/>
    <cellStyle name="Normal 5" xfId="25"/>
    <cellStyle name="Normal 5 2" xfId="26"/>
    <cellStyle name="Normal 5 3" xfId="27"/>
    <cellStyle name="Normal 5 4" xfId="28"/>
    <cellStyle name="Normal 6" xfId="29"/>
    <cellStyle name="Normal 6 2" xfId="30"/>
    <cellStyle name="Normal 7" xfId="31"/>
    <cellStyle name="Normal 8" xfId="32"/>
    <cellStyle name="Normal 9" xfId="33"/>
    <cellStyle name="Note 2 2" xfId="34"/>
    <cellStyle name="Note 2 3" xfId="35"/>
    <cellStyle name="Note 2 4" xfId="36"/>
    <cellStyle name="Note 2 5" xfId="37"/>
    <cellStyle name="Note 3" xfId="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161925</xdr:rowOff>
    </xdr:from>
    <xdr:to>
      <xdr:col>2</xdr:col>
      <xdr:colOff>0</xdr:colOff>
      <xdr:row>3</xdr:row>
      <xdr:rowOff>114300</xdr:rowOff>
    </xdr:to>
    <xdr:pic>
      <xdr:nvPicPr>
        <xdr:cNvPr id="2123" name="Picture 1" descr="novi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61925"/>
          <a:ext cx="9239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1</xdr:col>
      <xdr:colOff>1647825</xdr:colOff>
      <xdr:row>3</xdr:row>
      <xdr:rowOff>171450</xdr:rowOff>
    </xdr:to>
    <xdr:pic>
      <xdr:nvPicPr>
        <xdr:cNvPr id="31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"/>
          <a:ext cx="19240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933450</xdr:colOff>
      <xdr:row>3</xdr:row>
      <xdr:rowOff>28575</xdr:rowOff>
    </xdr:to>
    <xdr:pic>
      <xdr:nvPicPr>
        <xdr:cNvPr id="1095" name="Picture 1" descr="novi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334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933450</xdr:colOff>
      <xdr:row>3</xdr:row>
      <xdr:rowOff>28575</xdr:rowOff>
    </xdr:to>
    <xdr:pic>
      <xdr:nvPicPr>
        <xdr:cNvPr id="4154" name="Picture 1" descr="novi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334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R52"/>
  <sheetViews>
    <sheetView topLeftCell="A25" zoomScale="70" zoomScaleNormal="70" zoomScaleSheetLayoutView="50" workbookViewId="0">
      <selection activeCell="Z16" sqref="Z16"/>
    </sheetView>
  </sheetViews>
  <sheetFormatPr defaultRowHeight="12.75" outlineLevelCol="2"/>
  <cols>
    <col min="1" max="1" width="12.83203125" style="1" customWidth="1"/>
    <col min="2" max="2" width="4.1640625" style="1" customWidth="1"/>
    <col min="3" max="3" width="32.83203125" style="1" customWidth="1"/>
    <col min="4" max="4" width="13.33203125" style="1" customWidth="1"/>
    <col min="5" max="5" width="8.6640625" style="1" customWidth="1"/>
    <col min="6" max="6" width="12.33203125" style="1" hidden="1" customWidth="1" outlineLevel="1"/>
    <col min="7" max="7" width="10" style="2" hidden="1" customWidth="1" outlineLevel="1"/>
    <col min="8" max="8" width="11.1640625" style="1" hidden="1" customWidth="1" outlineLevel="1"/>
    <col min="9" max="9" width="10" style="2" hidden="1" customWidth="1" outlineLevel="1"/>
    <col min="10" max="10" width="12.33203125" style="1" customWidth="1" collapsed="1"/>
    <col min="11" max="11" width="16.83203125" style="1" hidden="1" customWidth="1" outlineLevel="1"/>
    <col min="12" max="12" width="16.33203125" style="1" hidden="1" customWidth="1" outlineLevel="1"/>
    <col min="13" max="13" width="9.6640625" style="1" customWidth="1" collapsed="1"/>
    <col min="14" max="14" width="19" style="1" customWidth="1"/>
    <col min="15" max="15" width="8.5" style="1" hidden="1" customWidth="1" outlineLevel="1"/>
    <col min="16" max="16" width="16" style="1" hidden="1" customWidth="1" outlineLevel="1"/>
    <col min="17" max="18" width="10.5" style="141" hidden="1" customWidth="1" outlineLevel="1"/>
    <col min="19" max="19" width="15.83203125" style="52" hidden="1" customWidth="1" outlineLevel="2"/>
    <col min="20" max="20" width="16" style="52" hidden="1" customWidth="1" outlineLevel="2"/>
    <col min="21" max="21" width="10.5" style="52" hidden="1" customWidth="1" outlineLevel="1"/>
    <col min="22" max="22" width="20.5" style="52" hidden="1" customWidth="1" outlineLevel="1"/>
    <col min="23" max="23" width="10.5" style="52" customWidth="1" collapsed="1"/>
    <col min="24" max="24" width="20.5" style="52" customWidth="1"/>
    <col min="25" max="26" width="10.33203125" style="141" customWidth="1"/>
    <col min="27" max="28" width="15.6640625" style="52" hidden="1" customWidth="1" outlineLevel="1"/>
    <col min="29" max="29" width="10.33203125" style="142" customWidth="1" collapsed="1"/>
    <col min="30" max="30" width="20.83203125" style="52" customWidth="1"/>
    <col min="31" max="31" width="10.33203125" style="146" customWidth="1"/>
    <col min="32" max="32" width="10.33203125" style="141" customWidth="1"/>
    <col min="33" max="34" width="16" style="52" hidden="1" customWidth="1" outlineLevel="1"/>
    <col min="35" max="35" width="10.5" style="687" customWidth="1" collapsed="1"/>
    <col min="36" max="36" width="20.83203125" style="52" customWidth="1"/>
    <col min="37" max="38" width="10.33203125" style="141" customWidth="1"/>
    <col min="39" max="39" width="15.83203125" style="142" hidden="1" customWidth="1" outlineLevel="1"/>
    <col min="40" max="40" width="16.6640625" style="142" hidden="1" customWidth="1" outlineLevel="1"/>
    <col min="41" max="41" width="10.33203125" style="687" customWidth="1" collapsed="1"/>
    <col min="42" max="42" width="20.83203125" style="52" customWidth="1"/>
    <col min="43" max="43" width="15.33203125" style="1" customWidth="1"/>
    <col min="44" max="44" width="15.33203125" style="1" bestFit="1" customWidth="1"/>
    <col min="45" max="45" width="13.5" style="1" bestFit="1" customWidth="1"/>
    <col min="46" max="16384" width="9.33203125" style="1"/>
  </cols>
  <sheetData>
    <row r="1" spans="1:42">
      <c r="V1" s="147"/>
      <c r="W1" s="147"/>
      <c r="X1" s="147"/>
      <c r="Y1" s="152"/>
      <c r="Z1" s="152"/>
      <c r="AC1" s="148"/>
    </row>
    <row r="2" spans="1:42" ht="12.75" customHeigh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2"/>
      <c r="P2" s="12"/>
      <c r="Q2" s="10"/>
      <c r="R2" s="10"/>
      <c r="S2" s="139"/>
      <c r="T2" s="139"/>
      <c r="U2" s="139"/>
      <c r="V2" s="139"/>
      <c r="W2" s="139"/>
      <c r="X2" s="139"/>
      <c r="Y2" s="10"/>
      <c r="Z2" s="10"/>
      <c r="AA2" s="139"/>
      <c r="AB2" s="139"/>
      <c r="AC2" s="678"/>
      <c r="AD2" s="139"/>
      <c r="AE2" s="143"/>
      <c r="AF2" s="144"/>
      <c r="AG2" s="139"/>
      <c r="AH2" s="139"/>
      <c r="AI2" s="688"/>
      <c r="AJ2" s="139"/>
      <c r="AK2" s="10"/>
      <c r="AL2" s="10"/>
      <c r="AM2" s="678"/>
      <c r="AN2" s="678"/>
      <c r="AO2" s="688"/>
    </row>
    <row r="3" spans="1:42" ht="12.75" customHeight="1"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2"/>
      <c r="P3" s="12"/>
      <c r="Q3" s="10"/>
      <c r="R3" s="10"/>
      <c r="S3" s="139"/>
      <c r="T3" s="139"/>
      <c r="U3" s="139"/>
      <c r="V3" s="139"/>
      <c r="W3" s="139"/>
      <c r="X3" s="139"/>
      <c r="Y3" s="10"/>
      <c r="Z3" s="10"/>
      <c r="AA3" s="139"/>
      <c r="AB3" s="139"/>
      <c r="AC3" s="678"/>
      <c r="AD3" s="139"/>
      <c r="AE3" s="143"/>
      <c r="AF3" s="144"/>
      <c r="AG3" s="139"/>
      <c r="AH3" s="139"/>
      <c r="AI3" s="688"/>
      <c r="AJ3" s="139"/>
      <c r="AK3" s="10"/>
      <c r="AL3" s="10"/>
      <c r="AM3" s="678"/>
      <c r="AN3" s="678"/>
      <c r="AO3" s="688"/>
      <c r="AP3" s="897" t="s">
        <v>168</v>
      </c>
    </row>
    <row r="4" spans="1:42" ht="12.75" customHeight="1"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2"/>
      <c r="P4" s="12"/>
      <c r="Q4" s="10"/>
      <c r="R4" s="10"/>
      <c r="S4" s="139"/>
      <c r="T4" s="139"/>
      <c r="U4" s="139"/>
      <c r="V4" s="139"/>
      <c r="W4" s="139"/>
      <c r="X4" s="139"/>
      <c r="Y4" s="10"/>
      <c r="Z4" s="10"/>
      <c r="AA4" s="139"/>
      <c r="AB4" s="139"/>
      <c r="AC4" s="678"/>
      <c r="AD4" s="139"/>
      <c r="AE4" s="143"/>
      <c r="AF4" s="144"/>
      <c r="AG4" s="139"/>
      <c r="AH4" s="139"/>
      <c r="AI4" s="688"/>
      <c r="AJ4" s="139"/>
      <c r="AK4" s="10"/>
      <c r="AL4" s="10"/>
      <c r="AM4" s="678"/>
      <c r="AN4" s="678"/>
      <c r="AO4" s="688"/>
      <c r="AP4" s="897"/>
    </row>
    <row r="5" spans="1:42" ht="12.75" customHeight="1"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2"/>
      <c r="P5" s="12"/>
      <c r="Q5" s="10"/>
      <c r="R5" s="10"/>
      <c r="S5" s="139"/>
      <c r="T5" s="139"/>
      <c r="U5" s="139"/>
      <c r="V5" s="139"/>
      <c r="W5" s="139"/>
      <c r="X5" s="139"/>
      <c r="Y5" s="10"/>
      <c r="Z5" s="10"/>
      <c r="AA5" s="139"/>
      <c r="AB5" s="139"/>
      <c r="AC5" s="678"/>
      <c r="AD5" s="139"/>
      <c r="AE5" s="143"/>
      <c r="AF5" s="144"/>
      <c r="AG5" s="139"/>
      <c r="AH5" s="139"/>
      <c r="AI5" s="688"/>
      <c r="AJ5" s="139"/>
      <c r="AK5" s="10"/>
      <c r="AL5" s="10"/>
      <c r="AM5" s="678"/>
      <c r="AN5" s="678"/>
      <c r="AO5" s="688"/>
      <c r="AP5" s="897"/>
    </row>
    <row r="6" spans="1:42" ht="18" customHeight="1">
      <c r="A6" s="9" t="s">
        <v>0</v>
      </c>
      <c r="B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2"/>
      <c r="P6" s="12"/>
      <c r="Q6" s="10"/>
      <c r="R6" s="10"/>
      <c r="S6" s="139"/>
      <c r="T6" s="139"/>
      <c r="U6" s="139"/>
      <c r="V6" s="139"/>
      <c r="W6" s="139"/>
      <c r="X6" s="139"/>
      <c r="Y6" s="10"/>
      <c r="Z6" s="10"/>
      <c r="AA6" s="139"/>
      <c r="AB6" s="139"/>
      <c r="AC6" s="678"/>
      <c r="AD6" s="139"/>
      <c r="AE6" s="143"/>
      <c r="AF6" s="144"/>
      <c r="AG6" s="139"/>
      <c r="AH6" s="139"/>
      <c r="AI6" s="688"/>
      <c r="AJ6" s="139"/>
      <c r="AK6" s="10"/>
      <c r="AL6" s="10"/>
      <c r="AM6" s="678"/>
      <c r="AN6" s="678"/>
      <c r="AO6" s="688"/>
    </row>
    <row r="7" spans="1:42" ht="12.75" customHeight="1">
      <c r="A7" s="9"/>
      <c r="B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2"/>
      <c r="P7" s="12"/>
      <c r="Q7" s="10"/>
      <c r="R7" s="10"/>
      <c r="S7" s="139"/>
      <c r="T7" s="139"/>
      <c r="U7" s="139"/>
      <c r="V7" s="139"/>
      <c r="W7" s="139"/>
      <c r="X7" s="139"/>
      <c r="Y7" s="10"/>
      <c r="Z7" s="10"/>
      <c r="AA7" s="139"/>
      <c r="AB7" s="139"/>
      <c r="AC7" s="678"/>
      <c r="AD7" s="139"/>
      <c r="AE7" s="143"/>
      <c r="AF7" s="144"/>
      <c r="AG7" s="139"/>
      <c r="AH7" s="139"/>
      <c r="AI7" s="688"/>
      <c r="AJ7" s="139"/>
      <c r="AK7" s="10"/>
      <c r="AL7" s="10"/>
      <c r="AM7" s="678"/>
      <c r="AN7" s="678"/>
      <c r="AO7" s="688"/>
    </row>
    <row r="8" spans="1:42" ht="12.75" customHeight="1"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2"/>
      <c r="P8" s="12"/>
      <c r="Q8" s="10"/>
      <c r="R8" s="10"/>
      <c r="S8" s="139"/>
      <c r="T8" s="139"/>
      <c r="U8" s="139"/>
      <c r="V8" s="139"/>
      <c r="W8" s="139"/>
      <c r="X8" s="139"/>
      <c r="Y8" s="10"/>
      <c r="Z8" s="10"/>
      <c r="AA8" s="139"/>
      <c r="AB8" s="139"/>
      <c r="AC8" s="678"/>
      <c r="AD8" s="139"/>
      <c r="AE8" s="143"/>
      <c r="AF8" s="144"/>
      <c r="AG8" s="139"/>
      <c r="AH8" s="139"/>
      <c r="AI8" s="688"/>
      <c r="AJ8" s="139"/>
      <c r="AK8" s="10"/>
      <c r="AL8" s="10"/>
      <c r="AM8" s="678"/>
      <c r="AN8" s="678"/>
      <c r="AO8" s="688"/>
    </row>
    <row r="9" spans="1:42" ht="27" customHeight="1">
      <c r="A9" s="876" t="s">
        <v>165</v>
      </c>
      <c r="B9" s="876"/>
      <c r="C9" s="876"/>
      <c r="D9" s="876"/>
      <c r="E9" s="876"/>
      <c r="F9" s="876"/>
      <c r="G9" s="876"/>
      <c r="H9" s="876"/>
      <c r="I9" s="876"/>
      <c r="J9" s="876"/>
      <c r="K9" s="876"/>
      <c r="L9" s="876"/>
      <c r="M9" s="876"/>
      <c r="N9" s="876"/>
      <c r="O9" s="876"/>
      <c r="P9" s="876"/>
      <c r="Q9" s="876"/>
      <c r="R9" s="876"/>
      <c r="S9" s="876"/>
      <c r="T9" s="876"/>
      <c r="U9" s="876"/>
      <c r="V9" s="876"/>
      <c r="W9" s="876"/>
      <c r="X9" s="876"/>
      <c r="Y9" s="876"/>
      <c r="Z9" s="876"/>
      <c r="AA9" s="876"/>
      <c r="AB9" s="876"/>
      <c r="AC9" s="876"/>
      <c r="AD9" s="876"/>
      <c r="AE9" s="876"/>
      <c r="AF9" s="876"/>
      <c r="AG9" s="876"/>
      <c r="AH9" s="876"/>
      <c r="AI9" s="876"/>
      <c r="AJ9" s="876"/>
      <c r="AK9" s="876"/>
      <c r="AL9" s="876"/>
      <c r="AM9" s="876"/>
      <c r="AN9" s="876"/>
      <c r="AO9" s="876"/>
      <c r="AP9" s="876"/>
    </row>
    <row r="10" spans="1:42" ht="27" customHeight="1">
      <c r="A10" s="876"/>
      <c r="B10" s="876"/>
      <c r="C10" s="876"/>
      <c r="D10" s="876"/>
      <c r="E10" s="876"/>
      <c r="F10" s="876"/>
      <c r="G10" s="876"/>
      <c r="H10" s="876"/>
      <c r="I10" s="876"/>
      <c r="J10" s="876"/>
      <c r="K10" s="876"/>
      <c r="L10" s="876"/>
      <c r="M10" s="876"/>
      <c r="N10" s="876"/>
      <c r="O10" s="876"/>
      <c r="P10" s="876"/>
      <c r="Q10" s="876"/>
      <c r="R10" s="876"/>
      <c r="S10" s="876"/>
      <c r="T10" s="876"/>
      <c r="U10" s="876"/>
      <c r="V10" s="876"/>
      <c r="W10" s="876"/>
      <c r="X10" s="876"/>
      <c r="Y10" s="876"/>
      <c r="Z10" s="876"/>
      <c r="AA10" s="876"/>
      <c r="AB10" s="876"/>
      <c r="AC10" s="876"/>
      <c r="AD10" s="876"/>
      <c r="AE10" s="876"/>
      <c r="AF10" s="876"/>
      <c r="AG10" s="876"/>
      <c r="AH10" s="876"/>
      <c r="AI10" s="876"/>
      <c r="AJ10" s="876"/>
      <c r="AK10" s="876"/>
      <c r="AL10" s="876"/>
      <c r="AM10" s="876"/>
      <c r="AN10" s="876"/>
      <c r="AO10" s="876"/>
      <c r="AP10" s="876"/>
    </row>
    <row r="11" spans="1:42" ht="27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2"/>
      <c r="P11" s="12"/>
      <c r="Q11" s="10"/>
      <c r="R11" s="10"/>
      <c r="S11" s="139"/>
      <c r="T11" s="139"/>
      <c r="U11" s="139"/>
      <c r="V11" s="139"/>
      <c r="W11" s="139"/>
      <c r="X11" s="139"/>
      <c r="Y11" s="10"/>
      <c r="Z11" s="10"/>
      <c r="AA11" s="139"/>
      <c r="AB11" s="139"/>
      <c r="AC11" s="678"/>
      <c r="AD11" s="139"/>
      <c r="AE11" s="144"/>
      <c r="AF11" s="144"/>
      <c r="AG11" s="139"/>
      <c r="AH11" s="139"/>
      <c r="AI11" s="688"/>
      <c r="AJ11" s="139"/>
      <c r="AK11" s="10"/>
      <c r="AL11" s="10"/>
      <c r="AM11" s="678"/>
      <c r="AN11" s="678"/>
      <c r="AO11" s="688"/>
    </row>
    <row r="12" spans="1:42" ht="12.7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3"/>
      <c r="P12" s="13"/>
      <c r="Q12" s="10"/>
      <c r="R12" s="10"/>
      <c r="S12" s="139"/>
      <c r="T12" s="153"/>
      <c r="U12" s="139"/>
      <c r="V12" s="139"/>
      <c r="W12" s="139"/>
      <c r="X12" s="139"/>
      <c r="Y12" s="10"/>
      <c r="Z12" s="10"/>
      <c r="AA12" s="139"/>
      <c r="AB12" s="139"/>
      <c r="AC12" s="678"/>
      <c r="AD12" s="139"/>
      <c r="AE12" s="143"/>
      <c r="AF12" s="144"/>
      <c r="AG12" s="139"/>
      <c r="AH12" s="139"/>
      <c r="AI12" s="688"/>
      <c r="AJ12" s="139"/>
      <c r="AK12" s="10"/>
      <c r="AL12" s="10"/>
      <c r="AM12" s="678"/>
      <c r="AN12" s="678"/>
      <c r="AO12" s="688"/>
    </row>
    <row r="13" spans="1:42">
      <c r="A13" s="22"/>
      <c r="E13" s="21"/>
      <c r="N13" s="26"/>
      <c r="V13" s="147"/>
      <c r="W13" s="147"/>
      <c r="X13" s="147"/>
      <c r="Y13" s="152"/>
      <c r="Z13" s="152"/>
      <c r="AB13" s="142"/>
      <c r="AC13" s="148"/>
    </row>
    <row r="14" spans="1:42" s="12" customFormat="1" ht="30.75" customHeight="1">
      <c r="A14" s="928" t="s">
        <v>42</v>
      </c>
      <c r="B14" s="925" t="s">
        <v>16</v>
      </c>
      <c r="C14" s="882" t="s">
        <v>17</v>
      </c>
      <c r="D14" s="886" t="s">
        <v>18</v>
      </c>
      <c r="E14" s="886" t="s">
        <v>19</v>
      </c>
      <c r="F14" s="905" t="s">
        <v>20</v>
      </c>
      <c r="G14" s="905"/>
      <c r="H14" s="905"/>
      <c r="I14" s="905"/>
      <c r="J14" s="898" t="s">
        <v>20</v>
      </c>
      <c r="K14" s="912" t="s">
        <v>1</v>
      </c>
      <c r="L14" s="913"/>
      <c r="M14" s="913"/>
      <c r="N14" s="913"/>
      <c r="O14" s="913"/>
      <c r="P14" s="913"/>
      <c r="Q14" s="913"/>
      <c r="R14" s="913"/>
      <c r="S14" s="913"/>
      <c r="T14" s="913"/>
      <c r="U14" s="913"/>
      <c r="V14" s="913"/>
      <c r="W14" s="913"/>
      <c r="X14" s="913"/>
      <c r="Y14" s="913"/>
      <c r="Z14" s="913"/>
      <c r="AA14" s="913"/>
      <c r="AB14" s="913"/>
      <c r="AC14" s="913"/>
      <c r="AD14" s="913"/>
      <c r="AE14" s="913"/>
      <c r="AF14" s="913"/>
      <c r="AG14" s="913"/>
      <c r="AH14" s="913"/>
      <c r="AI14" s="913"/>
      <c r="AJ14" s="913"/>
      <c r="AK14" s="913"/>
      <c r="AL14" s="913"/>
      <c r="AM14" s="913"/>
      <c r="AN14" s="913"/>
      <c r="AO14" s="913"/>
      <c r="AP14" s="914"/>
    </row>
    <row r="15" spans="1:42" s="13" customFormat="1" ht="27" customHeight="1">
      <c r="A15" s="929"/>
      <c r="B15" s="926"/>
      <c r="C15" s="883"/>
      <c r="D15" s="887"/>
      <c r="E15" s="887"/>
      <c r="F15" s="906"/>
      <c r="G15" s="906"/>
      <c r="H15" s="906"/>
      <c r="I15" s="906"/>
      <c r="J15" s="899"/>
      <c r="K15" s="83" t="s">
        <v>21</v>
      </c>
      <c r="L15" s="53" t="s">
        <v>21</v>
      </c>
      <c r="M15" s="901" t="s">
        <v>22</v>
      </c>
      <c r="N15" s="916" t="s">
        <v>23</v>
      </c>
      <c r="O15" s="918" t="s">
        <v>24</v>
      </c>
      <c r="P15" s="919"/>
      <c r="Q15" s="907" t="s">
        <v>25</v>
      </c>
      <c r="R15" s="908"/>
      <c r="S15" s="908"/>
      <c r="T15" s="908"/>
      <c r="U15" s="908"/>
      <c r="V15" s="909"/>
      <c r="W15" s="907" t="s">
        <v>57</v>
      </c>
      <c r="X15" s="915"/>
      <c r="Y15" s="889" t="s">
        <v>50</v>
      </c>
      <c r="Z15" s="890"/>
      <c r="AA15" s="890"/>
      <c r="AB15" s="890"/>
      <c r="AC15" s="890"/>
      <c r="AD15" s="891"/>
      <c r="AE15" s="879" t="s">
        <v>48</v>
      </c>
      <c r="AF15" s="880"/>
      <c r="AG15" s="880"/>
      <c r="AH15" s="880"/>
      <c r="AI15" s="880"/>
      <c r="AJ15" s="881"/>
      <c r="AK15" s="892" t="s">
        <v>49</v>
      </c>
      <c r="AL15" s="893"/>
      <c r="AM15" s="893"/>
      <c r="AN15" s="893"/>
      <c r="AO15" s="893"/>
      <c r="AP15" s="894"/>
    </row>
    <row r="16" spans="1:42" s="13" customFormat="1" ht="26.25" customHeight="1">
      <c r="A16" s="930"/>
      <c r="B16" s="927"/>
      <c r="C16" s="884"/>
      <c r="D16" s="888"/>
      <c r="E16" s="888"/>
      <c r="F16" s="14" t="s">
        <v>26</v>
      </c>
      <c r="G16" s="15" t="s">
        <v>27</v>
      </c>
      <c r="H16" s="14" t="s">
        <v>28</v>
      </c>
      <c r="I16" s="15" t="s">
        <v>27</v>
      </c>
      <c r="J16" s="900"/>
      <c r="K16" s="84" t="s">
        <v>26</v>
      </c>
      <c r="L16" s="56" t="s">
        <v>28</v>
      </c>
      <c r="M16" s="902"/>
      <c r="N16" s="917"/>
      <c r="O16" s="48" t="s">
        <v>32</v>
      </c>
      <c r="P16" s="34" t="s">
        <v>44</v>
      </c>
      <c r="Q16" s="16" t="s">
        <v>29</v>
      </c>
      <c r="R16" s="16" t="s">
        <v>30</v>
      </c>
      <c r="S16" s="16" t="s">
        <v>26</v>
      </c>
      <c r="T16" s="16" t="s">
        <v>28</v>
      </c>
      <c r="U16" s="17" t="s">
        <v>31</v>
      </c>
      <c r="V16" s="17" t="s">
        <v>44</v>
      </c>
      <c r="W16" s="17" t="s">
        <v>31</v>
      </c>
      <c r="X16" s="17" t="s">
        <v>44</v>
      </c>
      <c r="Y16" s="255" t="s">
        <v>29</v>
      </c>
      <c r="Z16" s="37" t="s">
        <v>30</v>
      </c>
      <c r="AA16" s="37" t="s">
        <v>26</v>
      </c>
      <c r="AB16" s="37" t="s">
        <v>28</v>
      </c>
      <c r="AC16" s="713" t="s">
        <v>32</v>
      </c>
      <c r="AD16" s="38" t="s">
        <v>33</v>
      </c>
      <c r="AE16" s="273" t="s">
        <v>29</v>
      </c>
      <c r="AF16" s="216" t="s">
        <v>30</v>
      </c>
      <c r="AG16" s="216" t="s">
        <v>26</v>
      </c>
      <c r="AH16" s="216" t="s">
        <v>28</v>
      </c>
      <c r="AI16" s="704" t="s">
        <v>32</v>
      </c>
      <c r="AJ16" s="217" t="s">
        <v>33</v>
      </c>
      <c r="AK16" s="79" t="s">
        <v>29</v>
      </c>
      <c r="AL16" s="54" t="s">
        <v>30</v>
      </c>
      <c r="AM16" s="682" t="s">
        <v>26</v>
      </c>
      <c r="AN16" s="682" t="s">
        <v>28</v>
      </c>
      <c r="AO16" s="700" t="s">
        <v>32</v>
      </c>
      <c r="AP16" s="55" t="s">
        <v>33</v>
      </c>
    </row>
    <row r="17" spans="1:43" s="18" customFormat="1" ht="12.75" customHeight="1">
      <c r="A17" s="43">
        <v>1</v>
      </c>
      <c r="B17" s="44">
        <v>2</v>
      </c>
      <c r="C17" s="42">
        <v>3</v>
      </c>
      <c r="D17" s="4">
        <v>4</v>
      </c>
      <c r="E17" s="4">
        <v>5</v>
      </c>
      <c r="F17" s="4"/>
      <c r="G17" s="5"/>
      <c r="H17" s="4"/>
      <c r="I17" s="5"/>
      <c r="J17" s="7">
        <v>6</v>
      </c>
      <c r="K17" s="81"/>
      <c r="L17" s="4"/>
      <c r="M17" s="46">
        <v>7</v>
      </c>
      <c r="N17" s="47">
        <f>D50</f>
        <v>7.286816</v>
      </c>
      <c r="O17" s="49"/>
      <c r="P17" s="50"/>
      <c r="Q17" s="4"/>
      <c r="R17" s="4"/>
      <c r="S17" s="4"/>
      <c r="T17" s="4"/>
      <c r="U17" s="4"/>
      <c r="V17" s="4"/>
      <c r="W17" s="4">
        <v>9</v>
      </c>
      <c r="X17" s="275">
        <v>10</v>
      </c>
      <c r="Y17" s="81">
        <v>11</v>
      </c>
      <c r="Z17" s="4">
        <v>12</v>
      </c>
      <c r="AA17" s="4"/>
      <c r="AB17" s="4"/>
      <c r="AC17" s="845">
        <v>13</v>
      </c>
      <c r="AD17" s="7">
        <v>14</v>
      </c>
      <c r="AE17" s="248">
        <v>15</v>
      </c>
      <c r="AF17" s="145">
        <v>16</v>
      </c>
      <c r="AG17" s="4"/>
      <c r="AH17" s="4"/>
      <c r="AI17" s="845">
        <v>17</v>
      </c>
      <c r="AJ17" s="7">
        <v>18</v>
      </c>
      <c r="AK17" s="45">
        <v>19</v>
      </c>
      <c r="AL17" s="4">
        <v>20</v>
      </c>
      <c r="AM17" s="683"/>
      <c r="AN17" s="683"/>
      <c r="AO17" s="845">
        <v>21</v>
      </c>
      <c r="AP17" s="7">
        <v>22</v>
      </c>
    </row>
    <row r="18" spans="1:43" s="73" customFormat="1" ht="15" customHeight="1">
      <c r="A18" s="920" t="s">
        <v>45</v>
      </c>
      <c r="B18" s="96">
        <v>1</v>
      </c>
      <c r="C18" s="668" t="s">
        <v>3</v>
      </c>
      <c r="D18" s="669">
        <v>37</v>
      </c>
      <c r="E18" s="669">
        <v>0</v>
      </c>
      <c r="F18" s="670">
        <v>2360</v>
      </c>
      <c r="G18" s="97">
        <f>F18/J18</f>
        <v>1</v>
      </c>
      <c r="H18" s="670">
        <v>0</v>
      </c>
      <c r="I18" s="97">
        <f>H18/J18</f>
        <v>0</v>
      </c>
      <c r="J18" s="98">
        <f>F18+H18</f>
        <v>2360</v>
      </c>
      <c r="K18" s="99">
        <f>N18*G18</f>
        <v>2955232.42</v>
      </c>
      <c r="L18" s="100">
        <f>N18*I18</f>
        <v>0</v>
      </c>
      <c r="M18" s="210">
        <v>198.1</v>
      </c>
      <c r="N18" s="101">
        <v>2955232.42</v>
      </c>
      <c r="O18" s="102">
        <f>198.1-U18</f>
        <v>71.61999999999999</v>
      </c>
      <c r="P18" s="103">
        <v>745471.72</v>
      </c>
      <c r="Q18" s="276">
        <f>D18</f>
        <v>37</v>
      </c>
      <c r="R18" s="104">
        <f>E18</f>
        <v>0</v>
      </c>
      <c r="S18" s="105">
        <f>V18*G18</f>
        <v>2209760.7000000002</v>
      </c>
      <c r="T18" s="105">
        <f>Y18*H18</f>
        <v>0</v>
      </c>
      <c r="U18" s="105">
        <f>126.48</f>
        <v>126.48</v>
      </c>
      <c r="V18" s="277">
        <f>N18-P18</f>
        <v>2209760.7000000002</v>
      </c>
      <c r="W18" s="277">
        <f t="shared" ref="W18:X25" si="0">U18+O18</f>
        <v>198.1</v>
      </c>
      <c r="X18" s="283">
        <f t="shared" si="0"/>
        <v>2955232.42</v>
      </c>
      <c r="Y18" s="256">
        <v>0</v>
      </c>
      <c r="Z18" s="106">
        <v>0</v>
      </c>
      <c r="AA18" s="150">
        <f t="shared" ref="AA18:AA25" si="1">AD18*G18</f>
        <v>0</v>
      </c>
      <c r="AB18" s="150">
        <f t="shared" ref="AB18:AB25" si="2">AD18*I18</f>
        <v>0</v>
      </c>
      <c r="AC18" s="150">
        <f t="shared" ref="AC18:AC24" si="3">AD18/J18/$D$50</f>
        <v>0</v>
      </c>
      <c r="AD18" s="107">
        <f t="shared" ref="AD18:AD24" si="4">N18-P18-V18</f>
        <v>0</v>
      </c>
      <c r="AE18" s="249">
        <v>0</v>
      </c>
      <c r="AF18" s="211">
        <v>0</v>
      </c>
      <c r="AG18" s="211">
        <f t="shared" ref="AG18:AG24" si="5">AJ18*G18</f>
        <v>0</v>
      </c>
      <c r="AH18" s="211">
        <f t="shared" ref="AH18:AH24" si="6">AJ18*I18</f>
        <v>0</v>
      </c>
      <c r="AI18" s="705">
        <v>0</v>
      </c>
      <c r="AJ18" s="212">
        <v>0</v>
      </c>
      <c r="AK18" s="190">
        <v>0</v>
      </c>
      <c r="AL18" s="191">
        <v>0</v>
      </c>
      <c r="AM18" s="684">
        <f t="shared" ref="AM18:AM24" si="7">AP18*G18</f>
        <v>0</v>
      </c>
      <c r="AN18" s="684">
        <f t="shared" ref="AN18:AN24" si="8">AP18*I18</f>
        <v>0</v>
      </c>
      <c r="AO18" s="701">
        <v>0</v>
      </c>
      <c r="AP18" s="192">
        <v>0</v>
      </c>
      <c r="AQ18" s="74">
        <f>AP18+AJ18+AD18+V18+P18-N18</f>
        <v>0</v>
      </c>
    </row>
    <row r="19" spans="1:43" s="73" customFormat="1" ht="15" customHeight="1">
      <c r="A19" s="920"/>
      <c r="B19" s="133">
        <v>2</v>
      </c>
      <c r="C19" s="134" t="s">
        <v>2</v>
      </c>
      <c r="D19" s="135">
        <v>30</v>
      </c>
      <c r="E19" s="135">
        <v>0</v>
      </c>
      <c r="F19" s="136">
        <v>1744.39</v>
      </c>
      <c r="G19" s="61">
        <f t="shared" ref="G19:G24" si="9">F19/J19</f>
        <v>1</v>
      </c>
      <c r="H19" s="136">
        <v>0</v>
      </c>
      <c r="I19" s="61">
        <f t="shared" ref="I19:I24" si="10">H19/J19</f>
        <v>0</v>
      </c>
      <c r="J19" s="62">
        <f>H19+F19</f>
        <v>1744.39</v>
      </c>
      <c r="K19" s="108">
        <f>M19*$D$50*F19</f>
        <v>2518058.7994197439</v>
      </c>
      <c r="L19" s="64">
        <f>M19*$D$50*H19</f>
        <v>0</v>
      </c>
      <c r="M19" s="137">
        <v>198.1</v>
      </c>
      <c r="N19" s="66">
        <f>SUM(K19:L19)</f>
        <v>2518058.7994197439</v>
      </c>
      <c r="O19" s="67">
        <v>0</v>
      </c>
      <c r="P19" s="68">
        <v>0</v>
      </c>
      <c r="Q19" s="121">
        <v>0</v>
      </c>
      <c r="R19" s="69">
        <v>0</v>
      </c>
      <c r="S19" s="154">
        <f t="shared" ref="S19:S24" si="11">V19*G19</f>
        <v>2518058.7994197439</v>
      </c>
      <c r="T19" s="154">
        <f>V19*I19</f>
        <v>0</v>
      </c>
      <c r="U19" s="154">
        <f>V19/$D$50/J19</f>
        <v>198.09999999999997</v>
      </c>
      <c r="V19" s="280">
        <f>N19-P19</f>
        <v>2518058.7994197439</v>
      </c>
      <c r="W19" s="280">
        <f t="shared" si="0"/>
        <v>198.09999999999997</v>
      </c>
      <c r="X19" s="286">
        <f t="shared" si="0"/>
        <v>2518058.7994197439</v>
      </c>
      <c r="Y19" s="259">
        <f t="shared" ref="Y19:Z24" si="12">D19</f>
        <v>30</v>
      </c>
      <c r="Z19" s="117">
        <f t="shared" si="12"/>
        <v>0</v>
      </c>
      <c r="AA19" s="149">
        <f t="shared" si="1"/>
        <v>0</v>
      </c>
      <c r="AB19" s="149">
        <f t="shared" si="2"/>
        <v>0</v>
      </c>
      <c r="AC19" s="149">
        <f t="shared" si="3"/>
        <v>0</v>
      </c>
      <c r="AD19" s="71">
        <f t="shared" si="4"/>
        <v>0</v>
      </c>
      <c r="AE19" s="222">
        <v>0</v>
      </c>
      <c r="AF19" s="218">
        <v>0</v>
      </c>
      <c r="AG19" s="301">
        <f t="shared" si="5"/>
        <v>0</v>
      </c>
      <c r="AH19" s="301">
        <f t="shared" si="6"/>
        <v>0</v>
      </c>
      <c r="AI19" s="703">
        <v>0</v>
      </c>
      <c r="AJ19" s="229">
        <v>0</v>
      </c>
      <c r="AK19" s="193">
        <v>0</v>
      </c>
      <c r="AL19" s="184">
        <v>0</v>
      </c>
      <c r="AM19" s="203">
        <f t="shared" si="7"/>
        <v>0</v>
      </c>
      <c r="AN19" s="203">
        <f t="shared" si="8"/>
        <v>0</v>
      </c>
      <c r="AO19" s="692">
        <v>0</v>
      </c>
      <c r="AP19" s="185">
        <v>0</v>
      </c>
      <c r="AQ19" s="74">
        <f t="shared" ref="AQ19:AQ24" si="13">AP19+AJ19+AD19+V19+P19-N19</f>
        <v>0</v>
      </c>
    </row>
    <row r="20" spans="1:43" s="73" customFormat="1" ht="15" customHeight="1">
      <c r="A20" s="920"/>
      <c r="B20" s="57">
        <v>3</v>
      </c>
      <c r="C20" s="58" t="s">
        <v>4</v>
      </c>
      <c r="D20" s="59">
        <v>46</v>
      </c>
      <c r="E20" s="59">
        <v>0</v>
      </c>
      <c r="F20" s="60">
        <v>2437.9</v>
      </c>
      <c r="G20" s="61">
        <f t="shared" si="9"/>
        <v>1</v>
      </c>
      <c r="H20" s="60">
        <v>0</v>
      </c>
      <c r="I20" s="61">
        <f t="shared" si="10"/>
        <v>0</v>
      </c>
      <c r="J20" s="62">
        <f>H20+F20</f>
        <v>2437.9</v>
      </c>
      <c r="K20" s="108">
        <f>M20*$D$50*F20</f>
        <v>3519153.1406998402</v>
      </c>
      <c r="L20" s="64">
        <f>M20*$D$50*H20</f>
        <v>0</v>
      </c>
      <c r="M20" s="65">
        <v>198.1</v>
      </c>
      <c r="N20" s="66">
        <f>SUM(K20:L20)</f>
        <v>3519153.1406998402</v>
      </c>
      <c r="O20" s="67">
        <v>0</v>
      </c>
      <c r="P20" s="68">
        <v>0</v>
      </c>
      <c r="Q20" s="121">
        <v>0</v>
      </c>
      <c r="R20" s="69">
        <v>0</v>
      </c>
      <c r="S20" s="154">
        <f t="shared" si="11"/>
        <v>3519153.1406998402</v>
      </c>
      <c r="T20" s="154">
        <f>V20*I20</f>
        <v>0</v>
      </c>
      <c r="U20" s="154">
        <f>V20/D50/J20</f>
        <v>198.10000000000002</v>
      </c>
      <c r="V20" s="280">
        <f>N20-P20</f>
        <v>3519153.1406998402</v>
      </c>
      <c r="W20" s="282">
        <f t="shared" si="0"/>
        <v>198.10000000000002</v>
      </c>
      <c r="X20" s="285">
        <f t="shared" si="0"/>
        <v>3519153.1406998402</v>
      </c>
      <c r="Y20" s="258">
        <f t="shared" si="12"/>
        <v>46</v>
      </c>
      <c r="Z20" s="70">
        <f t="shared" si="12"/>
        <v>0</v>
      </c>
      <c r="AA20" s="149">
        <f t="shared" si="1"/>
        <v>0</v>
      </c>
      <c r="AB20" s="149">
        <f t="shared" si="2"/>
        <v>0</v>
      </c>
      <c r="AC20" s="149">
        <f t="shared" si="3"/>
        <v>0</v>
      </c>
      <c r="AD20" s="71">
        <f t="shared" si="4"/>
        <v>0</v>
      </c>
      <c r="AE20" s="222">
        <v>0</v>
      </c>
      <c r="AF20" s="218">
        <v>0</v>
      </c>
      <c r="AG20" s="301">
        <f t="shared" si="5"/>
        <v>0</v>
      </c>
      <c r="AH20" s="301">
        <f t="shared" si="6"/>
        <v>0</v>
      </c>
      <c r="AI20" s="703">
        <v>0</v>
      </c>
      <c r="AJ20" s="229">
        <v>0</v>
      </c>
      <c r="AK20" s="193">
        <v>0</v>
      </c>
      <c r="AL20" s="184">
        <v>0</v>
      </c>
      <c r="AM20" s="203">
        <f t="shared" si="7"/>
        <v>0</v>
      </c>
      <c r="AN20" s="203">
        <f t="shared" si="8"/>
        <v>0</v>
      </c>
      <c r="AO20" s="692">
        <v>0</v>
      </c>
      <c r="AP20" s="185">
        <v>0</v>
      </c>
      <c r="AQ20" s="74">
        <f t="shared" si="13"/>
        <v>0</v>
      </c>
    </row>
    <row r="21" spans="1:43" s="73" customFormat="1" ht="15" customHeight="1">
      <c r="A21" s="920"/>
      <c r="B21" s="57">
        <v>4</v>
      </c>
      <c r="C21" s="58" t="s">
        <v>8</v>
      </c>
      <c r="D21" s="59">
        <v>11</v>
      </c>
      <c r="E21" s="59">
        <v>3</v>
      </c>
      <c r="F21" s="60">
        <v>685.49</v>
      </c>
      <c r="G21" s="61">
        <f t="shared" si="9"/>
        <v>0.94287639954884328</v>
      </c>
      <c r="H21" s="60">
        <v>41.53</v>
      </c>
      <c r="I21" s="61">
        <f t="shared" si="10"/>
        <v>5.7123600451156782E-2</v>
      </c>
      <c r="J21" s="62">
        <f>H21+F21</f>
        <v>727.02</v>
      </c>
      <c r="K21" s="108">
        <f>N21*G21</f>
        <v>1004887.2117314517</v>
      </c>
      <c r="L21" s="64">
        <f>N21*I21</f>
        <v>60880.488268548324</v>
      </c>
      <c r="M21" s="65">
        <v>198.1</v>
      </c>
      <c r="N21" s="66">
        <v>1065767.7</v>
      </c>
      <c r="O21" s="67">
        <f>198.1-168.27</f>
        <v>29.829999999999984</v>
      </c>
      <c r="P21" s="68">
        <v>160099.64000000001</v>
      </c>
      <c r="Q21" s="121">
        <v>0</v>
      </c>
      <c r="R21" s="69">
        <v>0</v>
      </c>
      <c r="S21" s="154">
        <f t="shared" si="11"/>
        <v>853933.03959918581</v>
      </c>
      <c r="T21" s="154">
        <f>Y21*H21</f>
        <v>456.83000000000004</v>
      </c>
      <c r="U21" s="154">
        <v>168.27</v>
      </c>
      <c r="V21" s="280">
        <v>905668.06</v>
      </c>
      <c r="W21" s="282">
        <f t="shared" si="0"/>
        <v>198.1</v>
      </c>
      <c r="X21" s="285">
        <f t="shared" si="0"/>
        <v>1065767.7000000002</v>
      </c>
      <c r="Y21" s="258">
        <f t="shared" si="12"/>
        <v>11</v>
      </c>
      <c r="Z21" s="70">
        <f t="shared" si="12"/>
        <v>3</v>
      </c>
      <c r="AA21" s="149">
        <f t="shared" si="1"/>
        <v>0</v>
      </c>
      <c r="AB21" s="149">
        <f t="shared" si="2"/>
        <v>0</v>
      </c>
      <c r="AC21" s="149">
        <f t="shared" si="3"/>
        <v>0</v>
      </c>
      <c r="AD21" s="71">
        <f t="shared" si="4"/>
        <v>0</v>
      </c>
      <c r="AE21" s="222">
        <v>0</v>
      </c>
      <c r="AF21" s="218">
        <v>0</v>
      </c>
      <c r="AG21" s="218">
        <f t="shared" si="5"/>
        <v>0</v>
      </c>
      <c r="AH21" s="218">
        <f t="shared" si="6"/>
        <v>0</v>
      </c>
      <c r="AI21" s="703">
        <v>0</v>
      </c>
      <c r="AJ21" s="229">
        <v>0</v>
      </c>
      <c r="AK21" s="193">
        <v>0</v>
      </c>
      <c r="AL21" s="184">
        <v>0</v>
      </c>
      <c r="AM21" s="203">
        <f t="shared" si="7"/>
        <v>0</v>
      </c>
      <c r="AN21" s="203">
        <f t="shared" si="8"/>
        <v>0</v>
      </c>
      <c r="AO21" s="692">
        <v>0</v>
      </c>
      <c r="AP21" s="185">
        <v>0</v>
      </c>
      <c r="AQ21" s="74">
        <f t="shared" si="13"/>
        <v>0</v>
      </c>
    </row>
    <row r="22" spans="1:43" s="73" customFormat="1" ht="15" customHeight="1">
      <c r="A22" s="920"/>
      <c r="B22" s="57">
        <v>5</v>
      </c>
      <c r="C22" s="58" t="s">
        <v>9</v>
      </c>
      <c r="D22" s="59">
        <v>18</v>
      </c>
      <c r="E22" s="59">
        <v>0</v>
      </c>
      <c r="F22" s="60">
        <v>1050.24</v>
      </c>
      <c r="G22" s="61">
        <f t="shared" si="9"/>
        <v>1</v>
      </c>
      <c r="H22" s="60">
        <v>0</v>
      </c>
      <c r="I22" s="61">
        <f t="shared" si="10"/>
        <v>0</v>
      </c>
      <c r="J22" s="62">
        <f>H22+F22</f>
        <v>1050.24</v>
      </c>
      <c r="K22" s="108">
        <f>M22*$D$50*F22</f>
        <v>1516040.606459904</v>
      </c>
      <c r="L22" s="64">
        <f>M22*$D$50*H22</f>
        <v>0</v>
      </c>
      <c r="M22" s="65">
        <v>198.1</v>
      </c>
      <c r="N22" s="66">
        <f>SUM(K22:L22)</f>
        <v>1516040.606459904</v>
      </c>
      <c r="O22" s="67">
        <f>P22/D50/J22</f>
        <v>5.6114634157887897</v>
      </c>
      <c r="P22" s="68">
        <v>42944</v>
      </c>
      <c r="Q22" s="121">
        <v>0</v>
      </c>
      <c r="R22" s="69">
        <v>0</v>
      </c>
      <c r="S22" s="154">
        <f t="shared" si="11"/>
        <v>1473096.606459904</v>
      </c>
      <c r="T22" s="154">
        <f>V22*I22</f>
        <v>0</v>
      </c>
      <c r="U22" s="154">
        <f>V22/D50/J22</f>
        <v>192.4885365842112</v>
      </c>
      <c r="V22" s="280">
        <f>N22-P22</f>
        <v>1473096.606459904</v>
      </c>
      <c r="W22" s="282">
        <f t="shared" si="0"/>
        <v>198.1</v>
      </c>
      <c r="X22" s="285">
        <f t="shared" si="0"/>
        <v>1516040.606459904</v>
      </c>
      <c r="Y22" s="258">
        <f t="shared" si="12"/>
        <v>18</v>
      </c>
      <c r="Z22" s="70">
        <f t="shared" si="12"/>
        <v>0</v>
      </c>
      <c r="AA22" s="149">
        <f t="shared" si="1"/>
        <v>0</v>
      </c>
      <c r="AB22" s="149">
        <f t="shared" si="2"/>
        <v>0</v>
      </c>
      <c r="AC22" s="149">
        <f t="shared" si="3"/>
        <v>0</v>
      </c>
      <c r="AD22" s="71">
        <f t="shared" si="4"/>
        <v>0</v>
      </c>
      <c r="AE22" s="222">
        <v>0</v>
      </c>
      <c r="AF22" s="218">
        <v>0</v>
      </c>
      <c r="AG22" s="218">
        <f t="shared" si="5"/>
        <v>0</v>
      </c>
      <c r="AH22" s="218">
        <f t="shared" si="6"/>
        <v>0</v>
      </c>
      <c r="AI22" s="703">
        <v>0</v>
      </c>
      <c r="AJ22" s="229">
        <v>0</v>
      </c>
      <c r="AK22" s="193">
        <v>0</v>
      </c>
      <c r="AL22" s="184">
        <v>0</v>
      </c>
      <c r="AM22" s="203">
        <f t="shared" si="7"/>
        <v>0</v>
      </c>
      <c r="AN22" s="203">
        <f t="shared" si="8"/>
        <v>0</v>
      </c>
      <c r="AO22" s="692">
        <v>0</v>
      </c>
      <c r="AP22" s="185">
        <v>0</v>
      </c>
      <c r="AQ22" s="74">
        <f t="shared" si="13"/>
        <v>0</v>
      </c>
    </row>
    <row r="23" spans="1:43" s="73" customFormat="1" ht="15" customHeight="1">
      <c r="A23" s="920"/>
      <c r="B23" s="57">
        <v>6</v>
      </c>
      <c r="C23" s="58" t="s">
        <v>12</v>
      </c>
      <c r="D23" s="59">
        <v>20</v>
      </c>
      <c r="E23" s="59">
        <v>0</v>
      </c>
      <c r="F23" s="60">
        <v>1250</v>
      </c>
      <c r="G23" s="61">
        <f t="shared" si="9"/>
        <v>1</v>
      </c>
      <c r="H23" s="60">
        <v>0</v>
      </c>
      <c r="I23" s="61">
        <f t="shared" si="10"/>
        <v>0</v>
      </c>
      <c r="J23" s="62">
        <f>F23+H23</f>
        <v>1250</v>
      </c>
      <c r="K23" s="108">
        <f>N23*G23</f>
        <v>1832425</v>
      </c>
      <c r="L23" s="64">
        <f>N23*I23</f>
        <v>0</v>
      </c>
      <c r="M23" s="65">
        <v>198.1</v>
      </c>
      <c r="N23" s="66">
        <v>1832425</v>
      </c>
      <c r="O23" s="67">
        <v>0</v>
      </c>
      <c r="P23" s="68">
        <v>0</v>
      </c>
      <c r="Q23" s="121">
        <v>0</v>
      </c>
      <c r="R23" s="69">
        <v>0</v>
      </c>
      <c r="S23" s="154">
        <f t="shared" si="11"/>
        <v>1832425</v>
      </c>
      <c r="T23" s="154">
        <f>Y23*H23</f>
        <v>0</v>
      </c>
      <c r="U23" s="154">
        <v>198.1</v>
      </c>
      <c r="V23" s="280">
        <f>1832425</f>
        <v>1832425</v>
      </c>
      <c r="W23" s="282">
        <f t="shared" si="0"/>
        <v>198.1</v>
      </c>
      <c r="X23" s="285">
        <f t="shared" si="0"/>
        <v>1832425</v>
      </c>
      <c r="Y23" s="259">
        <f t="shared" si="12"/>
        <v>20</v>
      </c>
      <c r="Z23" s="117">
        <f t="shared" si="12"/>
        <v>0</v>
      </c>
      <c r="AA23" s="149">
        <f t="shared" si="1"/>
        <v>0</v>
      </c>
      <c r="AB23" s="149">
        <f t="shared" si="2"/>
        <v>0</v>
      </c>
      <c r="AC23" s="149">
        <f t="shared" si="3"/>
        <v>0</v>
      </c>
      <c r="AD23" s="71">
        <f t="shared" si="4"/>
        <v>0</v>
      </c>
      <c r="AE23" s="222">
        <v>0</v>
      </c>
      <c r="AF23" s="218">
        <v>0</v>
      </c>
      <c r="AG23" s="218">
        <f t="shared" si="5"/>
        <v>0</v>
      </c>
      <c r="AH23" s="218">
        <f t="shared" si="6"/>
        <v>0</v>
      </c>
      <c r="AI23" s="703">
        <v>0</v>
      </c>
      <c r="AJ23" s="229">
        <v>0</v>
      </c>
      <c r="AK23" s="193">
        <v>0</v>
      </c>
      <c r="AL23" s="184">
        <v>0</v>
      </c>
      <c r="AM23" s="203">
        <f t="shared" si="7"/>
        <v>0</v>
      </c>
      <c r="AN23" s="203">
        <f t="shared" si="8"/>
        <v>0</v>
      </c>
      <c r="AO23" s="692">
        <v>0</v>
      </c>
      <c r="AP23" s="185">
        <v>0</v>
      </c>
      <c r="AQ23" s="74">
        <f t="shared" si="13"/>
        <v>0</v>
      </c>
    </row>
    <row r="24" spans="1:43" s="73" customFormat="1" ht="15" customHeight="1">
      <c r="A24" s="920"/>
      <c r="B24" s="671">
        <v>7</v>
      </c>
      <c r="C24" s="672" t="s">
        <v>13</v>
      </c>
      <c r="D24" s="673">
        <v>18</v>
      </c>
      <c r="E24" s="673">
        <v>0</v>
      </c>
      <c r="F24" s="674">
        <v>1233.4000000000001</v>
      </c>
      <c r="G24" s="675">
        <f t="shared" si="9"/>
        <v>1</v>
      </c>
      <c r="H24" s="674">
        <v>0</v>
      </c>
      <c r="I24" s="675">
        <f t="shared" si="10"/>
        <v>0</v>
      </c>
      <c r="J24" s="676">
        <f>F24+H24</f>
        <v>1233.4000000000001</v>
      </c>
      <c r="K24" s="119">
        <f>N24*G24</f>
        <v>1808090.4</v>
      </c>
      <c r="L24" s="113">
        <f>N24*I24</f>
        <v>0</v>
      </c>
      <c r="M24" s="65">
        <v>198.1</v>
      </c>
      <c r="N24" s="114">
        <v>1808090.4</v>
      </c>
      <c r="O24" s="115">
        <f>198.1-192.4</f>
        <v>5.6999999999999886</v>
      </c>
      <c r="P24" s="116">
        <v>51240</v>
      </c>
      <c r="Q24" s="121">
        <v>0</v>
      </c>
      <c r="R24" s="69">
        <v>0</v>
      </c>
      <c r="S24" s="155">
        <f t="shared" si="11"/>
        <v>1756850.4</v>
      </c>
      <c r="T24" s="155">
        <f>Y24*H24</f>
        <v>0</v>
      </c>
      <c r="U24" s="155">
        <v>192.4</v>
      </c>
      <c r="V24" s="280">
        <v>1756850.4</v>
      </c>
      <c r="W24" s="282">
        <f t="shared" si="0"/>
        <v>198.1</v>
      </c>
      <c r="X24" s="285">
        <f t="shared" si="0"/>
        <v>1808090.4</v>
      </c>
      <c r="Y24" s="259">
        <f t="shared" si="12"/>
        <v>18</v>
      </c>
      <c r="Z24" s="117">
        <f t="shared" si="12"/>
        <v>0</v>
      </c>
      <c r="AA24" s="151">
        <f t="shared" si="1"/>
        <v>0</v>
      </c>
      <c r="AB24" s="151">
        <f t="shared" si="2"/>
        <v>0</v>
      </c>
      <c r="AC24" s="151">
        <f t="shared" si="3"/>
        <v>0</v>
      </c>
      <c r="AD24" s="118">
        <f t="shared" si="4"/>
        <v>0</v>
      </c>
      <c r="AE24" s="222">
        <v>0</v>
      </c>
      <c r="AF24" s="218">
        <v>0</v>
      </c>
      <c r="AG24" s="218">
        <f t="shared" si="5"/>
        <v>0</v>
      </c>
      <c r="AH24" s="218">
        <f t="shared" si="6"/>
        <v>0</v>
      </c>
      <c r="AI24" s="703">
        <v>0</v>
      </c>
      <c r="AJ24" s="229">
        <v>0</v>
      </c>
      <c r="AK24" s="193">
        <v>0</v>
      </c>
      <c r="AL24" s="184">
        <v>0</v>
      </c>
      <c r="AM24" s="203">
        <f t="shared" si="7"/>
        <v>0</v>
      </c>
      <c r="AN24" s="203">
        <f t="shared" si="8"/>
        <v>0</v>
      </c>
      <c r="AO24" s="692">
        <v>0</v>
      </c>
      <c r="AP24" s="185">
        <v>0</v>
      </c>
      <c r="AQ24" s="74">
        <f t="shared" si="13"/>
        <v>0</v>
      </c>
    </row>
    <row r="25" spans="1:43" s="73" customFormat="1" ht="15" customHeight="1">
      <c r="A25" s="920"/>
      <c r="B25" s="205">
        <v>8</v>
      </c>
      <c r="C25" s="186" t="s">
        <v>53</v>
      </c>
      <c r="D25" s="157">
        <v>20</v>
      </c>
      <c r="E25" s="157">
        <v>0</v>
      </c>
      <c r="F25" s="136">
        <f>94.5*D25</f>
        <v>1890</v>
      </c>
      <c r="G25" s="61">
        <f>F25/J25</f>
        <v>1</v>
      </c>
      <c r="H25" s="136">
        <f>11*E25</f>
        <v>0</v>
      </c>
      <c r="I25" s="61">
        <f>H25/J25</f>
        <v>0</v>
      </c>
      <c r="J25" s="62">
        <f>H25+F25</f>
        <v>1890</v>
      </c>
      <c r="K25" s="158">
        <f>N25*G25</f>
        <v>2277944.33</v>
      </c>
      <c r="L25" s="159">
        <f>I25*N25</f>
        <v>0</v>
      </c>
      <c r="M25" s="160">
        <v>159.51</v>
      </c>
      <c r="N25" s="161">
        <v>2277944.33</v>
      </c>
      <c r="O25" s="162">
        <v>0</v>
      </c>
      <c r="P25" s="163">
        <v>0</v>
      </c>
      <c r="Q25" s="278">
        <v>10</v>
      </c>
      <c r="R25" s="164">
        <v>0</v>
      </c>
      <c r="S25" s="165">
        <f>V25*G25</f>
        <v>2277944.33</v>
      </c>
      <c r="T25" s="165">
        <f>V25*I25</f>
        <v>0</v>
      </c>
      <c r="U25" s="165">
        <v>159.51</v>
      </c>
      <c r="V25" s="279">
        <v>2277944.33</v>
      </c>
      <c r="W25" s="282">
        <f t="shared" si="0"/>
        <v>159.51</v>
      </c>
      <c r="X25" s="284">
        <f t="shared" si="0"/>
        <v>2277944.33</v>
      </c>
      <c r="Y25" s="257">
        <v>0</v>
      </c>
      <c r="Z25" s="206">
        <v>0</v>
      </c>
      <c r="AA25" s="166">
        <f t="shared" si="1"/>
        <v>0</v>
      </c>
      <c r="AB25" s="166">
        <f t="shared" si="2"/>
        <v>0</v>
      </c>
      <c r="AC25" s="166">
        <v>0</v>
      </c>
      <c r="AD25" s="180">
        <v>0</v>
      </c>
      <c r="AE25" s="213">
        <v>0</v>
      </c>
      <c r="AF25" s="214">
        <v>0</v>
      </c>
      <c r="AG25" s="214">
        <v>0</v>
      </c>
      <c r="AH25" s="214">
        <v>0</v>
      </c>
      <c r="AI25" s="706">
        <v>0</v>
      </c>
      <c r="AJ25" s="215">
        <v>0</v>
      </c>
      <c r="AK25" s="207">
        <v>0</v>
      </c>
      <c r="AL25" s="208">
        <v>0</v>
      </c>
      <c r="AM25" s="685">
        <v>0</v>
      </c>
      <c r="AN25" s="685">
        <v>0</v>
      </c>
      <c r="AO25" s="702">
        <v>0</v>
      </c>
      <c r="AP25" s="209">
        <v>0</v>
      </c>
      <c r="AQ25" s="74">
        <f>AP25+AJ25+AD25+V25+P25-N25</f>
        <v>0</v>
      </c>
    </row>
    <row r="26" spans="1:43" s="13" customFormat="1" ht="21" customHeight="1">
      <c r="A26" s="921"/>
      <c r="B26" s="922" t="s">
        <v>51</v>
      </c>
      <c r="C26" s="923"/>
      <c r="D26" s="23">
        <f>SUM(D18:D24)</f>
        <v>180</v>
      </c>
      <c r="E26" s="23">
        <f>SUM(E18:E24)</f>
        <v>3</v>
      </c>
      <c r="F26" s="27">
        <f>SUM(F18:F24)</f>
        <v>10761.42</v>
      </c>
      <c r="G26" s="33">
        <f>F26/J26</f>
        <v>0.99615567969860075</v>
      </c>
      <c r="H26" s="27">
        <f>SUM(H18:H24)</f>
        <v>41.53</v>
      </c>
      <c r="I26" s="33">
        <f>H26/J26</f>
        <v>3.8443203013991548E-3</v>
      </c>
      <c r="J26" s="39">
        <f>SUM(J18:J24)</f>
        <v>10802.95</v>
      </c>
      <c r="K26" s="85">
        <f>SUM(K18:K25)</f>
        <v>17431831.908310942</v>
      </c>
      <c r="L26" s="31">
        <f>SUM(L18:L25)</f>
        <v>60880.488268548324</v>
      </c>
      <c r="M26" s="25" t="s">
        <v>36</v>
      </c>
      <c r="N26" s="30">
        <f>SUM(N18:N25)</f>
        <v>17492712.396579489</v>
      </c>
      <c r="O26" s="28" t="s">
        <v>36</v>
      </c>
      <c r="P26" s="27">
        <f>SUM(P18:P25)</f>
        <v>999755.36</v>
      </c>
      <c r="Q26" s="23">
        <f>SUM(Q18:Q24)</f>
        <v>37</v>
      </c>
      <c r="R26" s="23">
        <f>SUM(R18:R24)</f>
        <v>0</v>
      </c>
      <c r="S26" s="27">
        <f>SUM(S18:S25)</f>
        <v>16441222.016178675</v>
      </c>
      <c r="T26" s="27">
        <f>SUM(T18:T25)</f>
        <v>456.83000000000004</v>
      </c>
      <c r="U26" s="24" t="s">
        <v>36</v>
      </c>
      <c r="V26" s="27">
        <f>SUM(V18:V25)</f>
        <v>16492957.03657949</v>
      </c>
      <c r="W26" s="24" t="s">
        <v>36</v>
      </c>
      <c r="X26" s="27">
        <f>SUM(X18:X25)</f>
        <v>17492712.396579489</v>
      </c>
      <c r="Y26" s="82">
        <f>SUM(Y18:Y24)</f>
        <v>143</v>
      </c>
      <c r="Z26" s="23">
        <f>SUM(Z18:Z24)</f>
        <v>3</v>
      </c>
      <c r="AA26" s="27">
        <f>SUM(AA18:AA25)</f>
        <v>0</v>
      </c>
      <c r="AB26" s="27">
        <f>SUM(AB18:AB25)</f>
        <v>0</v>
      </c>
      <c r="AC26" s="288" t="s">
        <v>43</v>
      </c>
      <c r="AD26" s="39">
        <f>SUM(AD18:AD25)</f>
        <v>0</v>
      </c>
      <c r="AE26" s="80">
        <f>SUM(AE18:AE24)</f>
        <v>0</v>
      </c>
      <c r="AF26" s="23">
        <f>SUM(AF18:AF24)</f>
        <v>0</v>
      </c>
      <c r="AG26" s="288">
        <f>SUM(AG18:AG25)</f>
        <v>0</v>
      </c>
      <c r="AH26" s="288">
        <f>SUM(AH18:AH25)</f>
        <v>0</v>
      </c>
      <c r="AI26" s="689" t="s">
        <v>43</v>
      </c>
      <c r="AJ26" s="39">
        <f>SUM(AJ18:AJ25)</f>
        <v>0</v>
      </c>
      <c r="AK26" s="80">
        <f>SUM(AK18:AK24)</f>
        <v>0</v>
      </c>
      <c r="AL26" s="23">
        <f>SUM(AL18:AL24)</f>
        <v>0</v>
      </c>
      <c r="AM26" s="27">
        <f>SUM(AM18:AM25)</f>
        <v>0</v>
      </c>
      <c r="AN26" s="27">
        <f>SUM(AN18:AN18)</f>
        <v>0</v>
      </c>
      <c r="AO26" s="689" t="s">
        <v>43</v>
      </c>
      <c r="AP26" s="39">
        <f>SUM(AP18:AP25)</f>
        <v>0</v>
      </c>
      <c r="AQ26" s="74">
        <f>AP26+AJ26+AD26+V26+P26-N26</f>
        <v>0</v>
      </c>
    </row>
    <row r="27" spans="1:43" s="73" customFormat="1" ht="15" customHeight="1">
      <c r="A27" s="931" t="s">
        <v>142</v>
      </c>
      <c r="B27" s="57">
        <v>1</v>
      </c>
      <c r="C27" s="58" t="s">
        <v>5</v>
      </c>
      <c r="D27" s="59">
        <v>19</v>
      </c>
      <c r="E27" s="59">
        <v>0</v>
      </c>
      <c r="F27" s="60">
        <v>1001.77</v>
      </c>
      <c r="G27" s="61">
        <f t="shared" ref="G27:G36" si="14">F27/J27</f>
        <v>1</v>
      </c>
      <c r="H27" s="60">
        <v>0</v>
      </c>
      <c r="I27" s="61">
        <f t="shared" ref="I27:I36" si="15">H27/J27</f>
        <v>0</v>
      </c>
      <c r="J27" s="62">
        <f t="shared" ref="J27:J33" si="16">H27+F27</f>
        <v>1001.77</v>
      </c>
      <c r="K27" s="108">
        <f>M27*$D$50*F27</f>
        <v>1446073.276901792</v>
      </c>
      <c r="L27" s="64">
        <f>M27*$D$50*H27</f>
        <v>0</v>
      </c>
      <c r="M27" s="65">
        <v>198.1</v>
      </c>
      <c r="N27" s="66">
        <f>SUM(K27:L27)</f>
        <v>1446073.276901792</v>
      </c>
      <c r="O27" s="67">
        <f>P27/J27/D50</f>
        <v>7.4640187965613212</v>
      </c>
      <c r="P27" s="68">
        <v>54485.2</v>
      </c>
      <c r="Q27" s="121">
        <v>0</v>
      </c>
      <c r="R27" s="69">
        <v>0</v>
      </c>
      <c r="S27" s="154">
        <f>V27*G27</f>
        <v>217940.8</v>
      </c>
      <c r="T27" s="154">
        <f>V27*I27</f>
        <v>0</v>
      </c>
      <c r="U27" s="154">
        <f>V27/J27/D50</f>
        <v>29.856075186245285</v>
      </c>
      <c r="V27" s="280">
        <f>272426-P27</f>
        <v>217940.8</v>
      </c>
      <c r="W27" s="282">
        <f t="shared" ref="W27:X31" si="17">U27+O27</f>
        <v>37.320093982806604</v>
      </c>
      <c r="X27" s="285">
        <f t="shared" si="17"/>
        <v>272426</v>
      </c>
      <c r="Y27" s="258">
        <f>D27</f>
        <v>19</v>
      </c>
      <c r="Z27" s="70">
        <f>E27</f>
        <v>0</v>
      </c>
      <c r="AA27" s="149">
        <f>AD27*G27</f>
        <v>1173647.276901792</v>
      </c>
      <c r="AB27" s="149">
        <f>AD27*I27</f>
        <v>0</v>
      </c>
      <c r="AC27" s="149">
        <f>AD27/J27/$D$50</f>
        <v>160.77990601719341</v>
      </c>
      <c r="AD27" s="71">
        <f>N27-P27-V27</f>
        <v>1173647.276901792</v>
      </c>
      <c r="AE27" s="222">
        <v>0</v>
      </c>
      <c r="AF27" s="218">
        <v>0</v>
      </c>
      <c r="AG27" s="228">
        <f>AJ27*G27</f>
        <v>0</v>
      </c>
      <c r="AH27" s="228">
        <f>AJ27*I27</f>
        <v>0</v>
      </c>
      <c r="AI27" s="703">
        <v>0</v>
      </c>
      <c r="AJ27" s="229">
        <v>0</v>
      </c>
      <c r="AK27" s="193">
        <v>0</v>
      </c>
      <c r="AL27" s="184">
        <v>0</v>
      </c>
      <c r="AM27" s="203">
        <f>AP27*G27</f>
        <v>0</v>
      </c>
      <c r="AN27" s="203">
        <f>AP27*I27</f>
        <v>0</v>
      </c>
      <c r="AO27" s="692">
        <v>0</v>
      </c>
      <c r="AP27" s="185">
        <v>0</v>
      </c>
      <c r="AQ27" s="74">
        <f t="shared" ref="AQ27:AQ36" si="18">AP27+AJ27+AD27+V27+P27-N27</f>
        <v>0</v>
      </c>
    </row>
    <row r="28" spans="1:43" s="78" customFormat="1" ht="15" customHeight="1">
      <c r="A28" s="931"/>
      <c r="B28" s="75">
        <v>2</v>
      </c>
      <c r="C28" s="76" t="s">
        <v>7</v>
      </c>
      <c r="D28" s="77">
        <v>129</v>
      </c>
      <c r="E28" s="77">
        <v>142</v>
      </c>
      <c r="F28" s="60">
        <v>8483.41</v>
      </c>
      <c r="G28" s="61">
        <f t="shared" si="14"/>
        <v>0.86907629123251662</v>
      </c>
      <c r="H28" s="60">
        <v>1278</v>
      </c>
      <c r="I28" s="61">
        <f t="shared" si="15"/>
        <v>0.13092370876748338</v>
      </c>
      <c r="J28" s="62">
        <f t="shared" si="16"/>
        <v>9761.41</v>
      </c>
      <c r="K28" s="108">
        <f>M28*$D$50*F28</f>
        <v>17144340.015374787</v>
      </c>
      <c r="L28" s="64">
        <f>M28*$D$50*H28</f>
        <v>2582742.8521843194</v>
      </c>
      <c r="M28" s="65">
        <v>277.33999999999997</v>
      </c>
      <c r="N28" s="66">
        <f>SUM(K28:L28)</f>
        <v>19727082.867559105</v>
      </c>
      <c r="O28" s="67">
        <f>P28/J28/$D$50</f>
        <v>114.18959846853039</v>
      </c>
      <c r="P28" s="68">
        <v>8122260.2999999998</v>
      </c>
      <c r="Q28" s="121">
        <v>0</v>
      </c>
      <c r="R28" s="69">
        <v>0</v>
      </c>
      <c r="S28" s="154">
        <f>V28*G28</f>
        <v>2278478.1618645159</v>
      </c>
      <c r="T28" s="154">
        <f>V28*I28</f>
        <v>343245.82813548454</v>
      </c>
      <c r="U28" s="154">
        <f>V28/J28/$D$50</f>
        <v>36.858411163381881</v>
      </c>
      <c r="V28" s="280">
        <v>2621723.9900000002</v>
      </c>
      <c r="W28" s="282">
        <f t="shared" si="17"/>
        <v>151.04800963191227</v>
      </c>
      <c r="X28" s="285">
        <f t="shared" si="17"/>
        <v>10743984.289999999</v>
      </c>
      <c r="Y28" s="258">
        <f>D28</f>
        <v>129</v>
      </c>
      <c r="Z28" s="70">
        <f>E28</f>
        <v>142</v>
      </c>
      <c r="AA28" s="149">
        <f>AD28*G28</f>
        <v>7806997.9955611667</v>
      </c>
      <c r="AB28" s="149">
        <f>AD28*I28</f>
        <v>1176100.5819979431</v>
      </c>
      <c r="AC28" s="149">
        <f>M28-W28</f>
        <v>126.29199036808771</v>
      </c>
      <c r="AD28" s="71">
        <f>AC28*J28*D50</f>
        <v>8983098.5775591098</v>
      </c>
      <c r="AE28" s="250">
        <v>0</v>
      </c>
      <c r="AF28" s="219">
        <v>0</v>
      </c>
      <c r="AG28" s="220">
        <f>AJ28*G28</f>
        <v>0</v>
      </c>
      <c r="AH28" s="220">
        <f>AJ28*I28</f>
        <v>0</v>
      </c>
      <c r="AI28" s="707">
        <v>0</v>
      </c>
      <c r="AJ28" s="221">
        <v>0</v>
      </c>
      <c r="AK28" s="193">
        <v>0</v>
      </c>
      <c r="AL28" s="184">
        <v>0</v>
      </c>
      <c r="AM28" s="203">
        <f>AP28*G28</f>
        <v>0</v>
      </c>
      <c r="AN28" s="203">
        <f>AP28*I28</f>
        <v>0</v>
      </c>
      <c r="AO28" s="692">
        <v>0</v>
      </c>
      <c r="AP28" s="185">
        <v>0</v>
      </c>
      <c r="AQ28" s="74">
        <f t="shared" si="18"/>
        <v>0</v>
      </c>
    </row>
    <row r="29" spans="1:43" s="73" customFormat="1" ht="15" customHeight="1">
      <c r="A29" s="931"/>
      <c r="B29" s="57">
        <v>3</v>
      </c>
      <c r="C29" s="58" t="s">
        <v>11</v>
      </c>
      <c r="D29" s="59">
        <v>16</v>
      </c>
      <c r="E29" s="59">
        <v>16</v>
      </c>
      <c r="F29" s="60">
        <v>881.85</v>
      </c>
      <c r="G29" s="110">
        <f t="shared" si="14"/>
        <v>0.83957728376255547</v>
      </c>
      <c r="H29" s="60">
        <v>168.5</v>
      </c>
      <c r="I29" s="110">
        <f t="shared" si="15"/>
        <v>0.16042271623744467</v>
      </c>
      <c r="J29" s="111">
        <f t="shared" si="16"/>
        <v>1050.3499999999999</v>
      </c>
      <c r="K29" s="112">
        <f>M29*$D$50*F29</f>
        <v>1272966.56840976</v>
      </c>
      <c r="L29" s="113">
        <f>M29*$D$50*H29</f>
        <v>243232.82505759998</v>
      </c>
      <c r="M29" s="65">
        <v>198.1</v>
      </c>
      <c r="N29" s="114">
        <f>SUM(K29:L29)</f>
        <v>1516199.3934673599</v>
      </c>
      <c r="O29" s="115">
        <f>P29/J29/D50</f>
        <v>10.541751603954909</v>
      </c>
      <c r="P29" s="116">
        <v>80683.48</v>
      </c>
      <c r="Q29" s="121">
        <v>0</v>
      </c>
      <c r="R29" s="69">
        <v>0</v>
      </c>
      <c r="S29" s="155">
        <f>V29*G29</f>
        <v>181847.33503308424</v>
      </c>
      <c r="T29" s="155">
        <f>V29*I29</f>
        <v>34746.584966915791</v>
      </c>
      <c r="U29" s="155">
        <f>V29/D50/J29</f>
        <v>28.299216934704372</v>
      </c>
      <c r="V29" s="280">
        <v>216593.92000000001</v>
      </c>
      <c r="W29" s="282">
        <f t="shared" si="17"/>
        <v>38.840968538659283</v>
      </c>
      <c r="X29" s="285">
        <f t="shared" si="17"/>
        <v>297277.40000000002</v>
      </c>
      <c r="Y29" s="259">
        <f t="shared" ref="Y29:Z31" si="19">D29</f>
        <v>16</v>
      </c>
      <c r="Z29" s="117">
        <f t="shared" si="19"/>
        <v>16</v>
      </c>
      <c r="AA29" s="151">
        <f>AD29*G29</f>
        <v>1023379.2163937655</v>
      </c>
      <c r="AB29" s="151">
        <f>AD29*I29</f>
        <v>195542.77707359468</v>
      </c>
      <c r="AC29" s="151">
        <f>AD29/J29/$D$50</f>
        <v>159.25903146134075</v>
      </c>
      <c r="AD29" s="118">
        <f>N29-P29-V29</f>
        <v>1218921.99346736</v>
      </c>
      <c r="AE29" s="222">
        <v>0</v>
      </c>
      <c r="AF29" s="218">
        <v>0</v>
      </c>
      <c r="AG29" s="228">
        <f>AJ29*G29</f>
        <v>0</v>
      </c>
      <c r="AH29" s="228">
        <f>AJ29*I29</f>
        <v>0</v>
      </c>
      <c r="AI29" s="703">
        <v>0</v>
      </c>
      <c r="AJ29" s="229">
        <v>0</v>
      </c>
      <c r="AK29" s="193">
        <v>0</v>
      </c>
      <c r="AL29" s="184">
        <v>0</v>
      </c>
      <c r="AM29" s="203">
        <f>AP29*G29</f>
        <v>0</v>
      </c>
      <c r="AN29" s="203">
        <f>AP29*I29</f>
        <v>0</v>
      </c>
      <c r="AO29" s="692">
        <v>0</v>
      </c>
      <c r="AP29" s="185">
        <v>0</v>
      </c>
      <c r="AQ29" s="74">
        <f t="shared" si="18"/>
        <v>0</v>
      </c>
    </row>
    <row r="30" spans="1:43" s="73" customFormat="1" ht="15" customHeight="1">
      <c r="A30" s="931"/>
      <c r="B30" s="167">
        <v>4</v>
      </c>
      <c r="C30" s="168" t="s">
        <v>37</v>
      </c>
      <c r="D30" s="169">
        <v>65</v>
      </c>
      <c r="E30" s="169">
        <v>65</v>
      </c>
      <c r="F30" s="170">
        <v>4000</v>
      </c>
      <c r="G30" s="171">
        <f t="shared" si="14"/>
        <v>0.8724100327153762</v>
      </c>
      <c r="H30" s="170">
        <v>585</v>
      </c>
      <c r="I30" s="171">
        <f t="shared" si="15"/>
        <v>0.12758996728462377</v>
      </c>
      <c r="J30" s="172">
        <f>H30+F30</f>
        <v>4585</v>
      </c>
      <c r="K30" s="119">
        <f>M30*$D$50*F30</f>
        <v>8083702.197759999</v>
      </c>
      <c r="L30" s="113">
        <f>M30*$D$50*H30</f>
        <v>1182241.4464223997</v>
      </c>
      <c r="M30" s="65">
        <v>277.33999999999997</v>
      </c>
      <c r="N30" s="114">
        <f>SUM(K30:L30)</f>
        <v>9265943.6441823989</v>
      </c>
      <c r="O30" s="115">
        <v>0</v>
      </c>
      <c r="P30" s="173">
        <v>0</v>
      </c>
      <c r="Q30" s="174">
        <v>0</v>
      </c>
      <c r="R30" s="174">
        <v>0</v>
      </c>
      <c r="S30" s="155">
        <f>V30*G30</f>
        <v>770582.33369683754</v>
      </c>
      <c r="T30" s="155">
        <f>V30*I30</f>
        <v>112697.66630316248</v>
      </c>
      <c r="U30" s="155">
        <f>V30/J30/$D$50</f>
        <v>26.437552893363765</v>
      </c>
      <c r="V30" s="280">
        <v>883280</v>
      </c>
      <c r="W30" s="282">
        <f t="shared" si="17"/>
        <v>26.437552893363765</v>
      </c>
      <c r="X30" s="285">
        <f t="shared" si="17"/>
        <v>883280</v>
      </c>
      <c r="Y30" s="259">
        <f t="shared" si="19"/>
        <v>65</v>
      </c>
      <c r="Z30" s="117">
        <f t="shared" si="19"/>
        <v>65</v>
      </c>
      <c r="AA30" s="151">
        <f>AD30*G30</f>
        <v>7313119.8640631614</v>
      </c>
      <c r="AB30" s="151">
        <f>AD30*I30</f>
        <v>1069543.7801192373</v>
      </c>
      <c r="AC30" s="151">
        <f>AD30/J30/$D$50</f>
        <v>250.9024471066362</v>
      </c>
      <c r="AD30" s="118">
        <f>N30-P30-V30</f>
        <v>8382663.6441823989</v>
      </c>
      <c r="AE30" s="222">
        <v>0</v>
      </c>
      <c r="AF30" s="218">
        <v>0</v>
      </c>
      <c r="AG30" s="228">
        <f>AJ30*G30</f>
        <v>0</v>
      </c>
      <c r="AH30" s="228">
        <f>AJ30*I30</f>
        <v>0</v>
      </c>
      <c r="AI30" s="703">
        <v>0</v>
      </c>
      <c r="AJ30" s="229">
        <v>0</v>
      </c>
      <c r="AK30" s="183">
        <v>0</v>
      </c>
      <c r="AL30" s="184">
        <v>0</v>
      </c>
      <c r="AM30" s="203">
        <f>AP30*G30</f>
        <v>0</v>
      </c>
      <c r="AN30" s="203">
        <f>AP30*I30</f>
        <v>0</v>
      </c>
      <c r="AO30" s="692">
        <v>0</v>
      </c>
      <c r="AP30" s="185">
        <v>0</v>
      </c>
      <c r="AQ30" s="74">
        <f>AP30+AJ30+AD30+V30+P30-N30</f>
        <v>0</v>
      </c>
    </row>
    <row r="31" spans="1:43" s="73" customFormat="1" ht="15" customHeight="1">
      <c r="A31" s="931"/>
      <c r="B31" s="269">
        <v>5</v>
      </c>
      <c r="C31" s="270" t="s">
        <v>14</v>
      </c>
      <c r="D31" s="265">
        <v>10</v>
      </c>
      <c r="E31" s="265">
        <v>0</v>
      </c>
      <c r="F31" s="266">
        <f>94.5*D31</f>
        <v>945</v>
      </c>
      <c r="G31" s="267">
        <f>F31/J31</f>
        <v>1</v>
      </c>
      <c r="H31" s="266">
        <f>11*E31</f>
        <v>0</v>
      </c>
      <c r="I31" s="267">
        <f>H31/J31</f>
        <v>0</v>
      </c>
      <c r="J31" s="268">
        <f>H31+F31</f>
        <v>945</v>
      </c>
      <c r="K31" s="86">
        <f>N31*G31</f>
        <v>1098392.4190511999</v>
      </c>
      <c r="L31" s="87">
        <f>I31*N31</f>
        <v>0</v>
      </c>
      <c r="M31" s="88">
        <v>159.51</v>
      </c>
      <c r="N31" s="89">
        <f>M31*D50*J31</f>
        <v>1098392.4190511999</v>
      </c>
      <c r="O31" s="90">
        <v>0</v>
      </c>
      <c r="P31" s="175">
        <v>0</v>
      </c>
      <c r="Q31" s="92">
        <v>0</v>
      </c>
      <c r="R31" s="176">
        <v>0</v>
      </c>
      <c r="S31" s="156">
        <f>V31*G31</f>
        <v>0</v>
      </c>
      <c r="T31" s="156">
        <f>V31*I31</f>
        <v>0</v>
      </c>
      <c r="U31" s="156">
        <v>0</v>
      </c>
      <c r="V31" s="281">
        <v>0</v>
      </c>
      <c r="W31" s="279">
        <f t="shared" si="17"/>
        <v>0</v>
      </c>
      <c r="X31" s="284">
        <f t="shared" si="17"/>
        <v>0</v>
      </c>
      <c r="Y31" s="260">
        <f t="shared" si="19"/>
        <v>10</v>
      </c>
      <c r="Z31" s="93">
        <f t="shared" si="19"/>
        <v>0</v>
      </c>
      <c r="AA31" s="94">
        <f>AD31*G31</f>
        <v>1098392.4190511999</v>
      </c>
      <c r="AB31" s="94">
        <f>AD31*I31</f>
        <v>0</v>
      </c>
      <c r="AC31" s="94">
        <f>AD31/J31/$D$50</f>
        <v>159.51</v>
      </c>
      <c r="AD31" s="95">
        <f>N31-P31-V31</f>
        <v>1098392.4190511999</v>
      </c>
      <c r="AE31" s="251">
        <v>0</v>
      </c>
      <c r="AF31" s="223">
        <v>0</v>
      </c>
      <c r="AG31" s="757">
        <f>AJ31*G31</f>
        <v>0</v>
      </c>
      <c r="AH31" s="757">
        <f>AJ31*I31</f>
        <v>0</v>
      </c>
      <c r="AI31" s="708">
        <v>0</v>
      </c>
      <c r="AJ31" s="302">
        <v>0</v>
      </c>
      <c r="AK31" s="194">
        <v>0</v>
      </c>
      <c r="AL31" s="188">
        <v>0</v>
      </c>
      <c r="AM31" s="204">
        <f>AP31*G31</f>
        <v>0</v>
      </c>
      <c r="AN31" s="204">
        <f>AP31*I31</f>
        <v>0</v>
      </c>
      <c r="AO31" s="694">
        <v>0</v>
      </c>
      <c r="AP31" s="189">
        <v>0</v>
      </c>
      <c r="AQ31" s="74">
        <f>AP31+AJ31+AD31+V31+P31-N31</f>
        <v>0</v>
      </c>
    </row>
    <row r="32" spans="1:43" s="132" customFormat="1" ht="18.75" customHeight="1">
      <c r="A32" s="932"/>
      <c r="B32" s="895" t="s">
        <v>54</v>
      </c>
      <c r="C32" s="896"/>
      <c r="D32" s="122">
        <f>SUM(D27:D30)</f>
        <v>229</v>
      </c>
      <c r="E32" s="122">
        <f>SUM(E27:E30)</f>
        <v>223</v>
      </c>
      <c r="F32" s="123">
        <f>SUM(F27:F30)</f>
        <v>14367.03</v>
      </c>
      <c r="G32" s="124">
        <f>F32/J32</f>
        <v>0.87611694462857348</v>
      </c>
      <c r="H32" s="123">
        <f>SUM(H27:H30)</f>
        <v>2031.5</v>
      </c>
      <c r="I32" s="124">
        <f>H32/J32</f>
        <v>0.12388305537142659</v>
      </c>
      <c r="J32" s="177">
        <f>SUM(J27:J30)</f>
        <v>16398.53</v>
      </c>
      <c r="K32" s="126">
        <f>SUM(K27:K31)</f>
        <v>29045474.47749754</v>
      </c>
      <c r="L32" s="127">
        <f>SUM(L27:L31)</f>
        <v>4008217.1236643195</v>
      </c>
      <c r="M32" s="120" t="s">
        <v>36</v>
      </c>
      <c r="N32" s="128">
        <f>SUM(N27:N31)</f>
        <v>33053691.601161856</v>
      </c>
      <c r="O32" s="129" t="s">
        <v>36</v>
      </c>
      <c r="P32" s="126">
        <f>SUM(P27:P31)</f>
        <v>8257428.9800000004</v>
      </c>
      <c r="Q32" s="130">
        <f>SUM(Q27:Q30)</f>
        <v>0</v>
      </c>
      <c r="R32" s="178">
        <f>SUM(R27:R30)</f>
        <v>0</v>
      </c>
      <c r="S32" s="127">
        <f>SUM(S27:S31)</f>
        <v>3448848.6305944375</v>
      </c>
      <c r="T32" s="127">
        <f>SUM(T27:T31)</f>
        <v>490690.07940556278</v>
      </c>
      <c r="U32" s="120" t="s">
        <v>36</v>
      </c>
      <c r="V32" s="127">
        <f>SUM(V27:V31)</f>
        <v>3939538.71</v>
      </c>
      <c r="W32" s="120" t="s">
        <v>36</v>
      </c>
      <c r="X32" s="127">
        <f>SUM(X27:X31)</f>
        <v>12196967.689999999</v>
      </c>
      <c r="Y32" s="261">
        <f>SUM(Y27:Y30)</f>
        <v>229</v>
      </c>
      <c r="Z32" s="178">
        <f>SUM(Z27:Z30)</f>
        <v>223</v>
      </c>
      <c r="AA32" s="127">
        <f>SUM(AA27:AA31)</f>
        <v>18415536.771971084</v>
      </c>
      <c r="AB32" s="127">
        <f>SUM(AB27:AB31)</f>
        <v>2441187.1391907753</v>
      </c>
      <c r="AC32" s="679" t="s">
        <v>36</v>
      </c>
      <c r="AD32" s="125">
        <f>SUM(AD27:AD31)</f>
        <v>20856723.911161862</v>
      </c>
      <c r="AE32" s="178">
        <f>SUM(AE27:AE30)</f>
        <v>0</v>
      </c>
      <c r="AF32" s="178">
        <f>SUM(AF27:AF30)</f>
        <v>0</v>
      </c>
      <c r="AG32" s="127">
        <f>SUM(AG27:AG31)</f>
        <v>0</v>
      </c>
      <c r="AH32" s="127">
        <f>SUM(AH27:AH31)</f>
        <v>0</v>
      </c>
      <c r="AI32" s="690" t="s">
        <v>36</v>
      </c>
      <c r="AJ32" s="125">
        <f>SUM(AJ27:AJ31)</f>
        <v>0</v>
      </c>
      <c r="AK32" s="178">
        <f>SUM(AK27:AK30)</f>
        <v>0</v>
      </c>
      <c r="AL32" s="178">
        <f>SUM(AL27:AL30)</f>
        <v>0</v>
      </c>
      <c r="AM32" s="127">
        <f>SUM(AM27:AM31)</f>
        <v>0</v>
      </c>
      <c r="AN32" s="127">
        <f>SUM(AN27:AN31)</f>
        <v>0</v>
      </c>
      <c r="AO32" s="690" t="s">
        <v>36</v>
      </c>
      <c r="AP32" s="125">
        <f>SUM(AP27:AP31)</f>
        <v>0</v>
      </c>
      <c r="AQ32" s="179">
        <f t="shared" si="18"/>
        <v>0</v>
      </c>
    </row>
    <row r="33" spans="1:44" s="73" customFormat="1" ht="17.25" customHeight="1">
      <c r="A33" s="931" t="s">
        <v>46</v>
      </c>
      <c r="B33" s="57">
        <v>1</v>
      </c>
      <c r="C33" s="58" t="s">
        <v>39</v>
      </c>
      <c r="D33" s="59">
        <v>295</v>
      </c>
      <c r="E33" s="59">
        <v>295</v>
      </c>
      <c r="F33" s="60">
        <v>17500</v>
      </c>
      <c r="G33" s="61">
        <f t="shared" si="14"/>
        <v>0.92718670361284927</v>
      </c>
      <c r="H33" s="60">
        <v>1374.3</v>
      </c>
      <c r="I33" s="61">
        <f t="shared" si="15"/>
        <v>7.2813296387150783E-2</v>
      </c>
      <c r="J33" s="62">
        <f t="shared" si="16"/>
        <v>18874.3</v>
      </c>
      <c r="K33" s="63">
        <f>N33*G33</f>
        <v>35366197.115199998</v>
      </c>
      <c r="L33" s="64">
        <f>N33*I33</f>
        <v>2777357.982595392</v>
      </c>
      <c r="M33" s="65">
        <v>277.33999999999997</v>
      </c>
      <c r="N33" s="66">
        <f>J33*M33*D50</f>
        <v>38143555.09779539</v>
      </c>
      <c r="O33" s="67">
        <f>P33/J33/D50</f>
        <v>24.753382862458238</v>
      </c>
      <c r="P33" s="109">
        <v>3404420.65</v>
      </c>
      <c r="Q33" s="121">
        <v>0</v>
      </c>
      <c r="R33" s="121">
        <v>0</v>
      </c>
      <c r="S33" s="154">
        <f>V33*G33</f>
        <v>695390.02770963695</v>
      </c>
      <c r="T33" s="154">
        <f>V33*I33</f>
        <v>54609.97229036309</v>
      </c>
      <c r="U33" s="154">
        <f>V33/D50/J33</f>
        <v>5.4532148213951404</v>
      </c>
      <c r="V33" s="280">
        <v>750000</v>
      </c>
      <c r="W33" s="282">
        <f t="shared" ref="W33:X35" si="20">U33+O33</f>
        <v>30.206597683853378</v>
      </c>
      <c r="X33" s="285">
        <f t="shared" si="20"/>
        <v>4154420.65</v>
      </c>
      <c r="Y33" s="258">
        <v>0</v>
      </c>
      <c r="Z33" s="70">
        <v>0</v>
      </c>
      <c r="AA33" s="149">
        <f>AD33*G33</f>
        <v>2236218.3484950438</v>
      </c>
      <c r="AB33" s="149">
        <f>AD33*I33</f>
        <v>175613.42150495647</v>
      </c>
      <c r="AC33" s="149">
        <f>AD33/J33/$D$50</f>
        <v>17.536315673167568</v>
      </c>
      <c r="AD33" s="71">
        <f>2700000-288168.23</f>
        <v>2411831.77</v>
      </c>
      <c r="AE33" s="252">
        <v>29</v>
      </c>
      <c r="AF33" s="224">
        <v>29</v>
      </c>
      <c r="AG33" s="225">
        <f>AJ33*G32</f>
        <v>3303765.5158128385</v>
      </c>
      <c r="AH33" s="225">
        <f>AJ33*I32</f>
        <v>467152.89418716193</v>
      </c>
      <c r="AI33" s="709">
        <f>AJ33/J32/$D$50</f>
        <v>31.557632466635091</v>
      </c>
      <c r="AJ33" s="226">
        <f>3500000-2844.17+1773762.58-1500000</f>
        <v>3770918.41</v>
      </c>
      <c r="AK33" s="195">
        <v>67</v>
      </c>
      <c r="AL33" s="196">
        <v>67</v>
      </c>
      <c r="AM33" s="197">
        <f>G33*AP33</f>
        <v>8183503.7683516741</v>
      </c>
      <c r="AN33" s="197">
        <f>AP33*I33</f>
        <v>642662.24164832605</v>
      </c>
      <c r="AO33" s="691">
        <f>AP33/J33/D50</f>
        <v>64.174639069101346</v>
      </c>
      <c r="AP33" s="198">
        <f>(14294567.22)/2+1500000+178882.4</f>
        <v>8826166.0099999998</v>
      </c>
      <c r="AQ33" s="74">
        <f t="shared" si="18"/>
        <v>-18980218.25779539</v>
      </c>
    </row>
    <row r="34" spans="1:44" s="73" customFormat="1" ht="17.25" customHeight="1">
      <c r="A34" s="931"/>
      <c r="B34" s="167">
        <v>2</v>
      </c>
      <c r="C34" s="168" t="s">
        <v>40</v>
      </c>
      <c r="D34" s="169">
        <v>100</v>
      </c>
      <c r="E34" s="169">
        <v>100</v>
      </c>
      <c r="F34" s="170">
        <f>65*D34</f>
        <v>6500</v>
      </c>
      <c r="G34" s="171">
        <f>F34/J34</f>
        <v>0.85526315789473684</v>
      </c>
      <c r="H34" s="170">
        <f>11*E34</f>
        <v>1100</v>
      </c>
      <c r="I34" s="171">
        <f>H34/J34</f>
        <v>0.14473684210526316</v>
      </c>
      <c r="J34" s="172">
        <f>H34+F34</f>
        <v>7600</v>
      </c>
      <c r="K34" s="119">
        <f>G34*N34</f>
        <v>9382868.6224000007</v>
      </c>
      <c r="L34" s="113">
        <f>I34*N34</f>
        <v>1587870.0745600001</v>
      </c>
      <c r="M34" s="65">
        <v>198.1</v>
      </c>
      <c r="N34" s="114">
        <f>J34*D50*M34</f>
        <v>10970738.69696</v>
      </c>
      <c r="O34" s="115">
        <v>0</v>
      </c>
      <c r="P34" s="173">
        <v>0</v>
      </c>
      <c r="Q34" s="174">
        <v>0</v>
      </c>
      <c r="R34" s="174">
        <v>0</v>
      </c>
      <c r="S34" s="155">
        <f>V34*G34</f>
        <v>0</v>
      </c>
      <c r="T34" s="155">
        <f>V34*I34</f>
        <v>0</v>
      </c>
      <c r="U34" s="155">
        <v>0</v>
      </c>
      <c r="V34" s="280">
        <v>0</v>
      </c>
      <c r="W34" s="282">
        <f t="shared" si="20"/>
        <v>0</v>
      </c>
      <c r="X34" s="285">
        <f t="shared" si="20"/>
        <v>0</v>
      </c>
      <c r="Y34" s="262">
        <v>0</v>
      </c>
      <c r="Z34" s="181">
        <v>0</v>
      </c>
      <c r="AA34" s="151">
        <f>AD34*G34</f>
        <v>1657750.64</v>
      </c>
      <c r="AB34" s="151">
        <f>AD34*I34</f>
        <v>280542.41599999997</v>
      </c>
      <c r="AC34" s="151">
        <v>35</v>
      </c>
      <c r="AD34" s="118">
        <f>AC34*D50*J34</f>
        <v>1938293.0559999999</v>
      </c>
      <c r="AE34" s="222">
        <v>100</v>
      </c>
      <c r="AF34" s="227">
        <v>100</v>
      </c>
      <c r="AG34" s="228">
        <f>AJ34*G34</f>
        <v>7725117.9824000001</v>
      </c>
      <c r="AH34" s="228">
        <f>AJ34*I34</f>
        <v>1307327.6585600001</v>
      </c>
      <c r="AI34" s="703">
        <f>(M34-W34-AC34)</f>
        <v>163.1</v>
      </c>
      <c r="AJ34" s="229">
        <f>AI34*J34*D50</f>
        <v>9032445.6409600005</v>
      </c>
      <c r="AK34" s="183">
        <v>0</v>
      </c>
      <c r="AL34" s="184">
        <v>0</v>
      </c>
      <c r="AM34" s="203">
        <f>AP34*G34</f>
        <v>0</v>
      </c>
      <c r="AN34" s="203">
        <f>AP34*I34</f>
        <v>0</v>
      </c>
      <c r="AO34" s="692">
        <f>M34-W34-AC34-AI34</f>
        <v>0</v>
      </c>
      <c r="AP34" s="185">
        <f>AO34*J34*D50</f>
        <v>0</v>
      </c>
      <c r="AQ34" s="74">
        <f>AP34+AJ34+AD34+V34+P34-N34</f>
        <v>0</v>
      </c>
    </row>
    <row r="35" spans="1:44" s="73" customFormat="1" ht="17.25" customHeight="1">
      <c r="A35" s="931"/>
      <c r="B35" s="271">
        <v>3</v>
      </c>
      <c r="C35" s="272" t="s">
        <v>53</v>
      </c>
      <c r="D35" s="265">
        <v>10</v>
      </c>
      <c r="E35" s="265">
        <v>0</v>
      </c>
      <c r="F35" s="266">
        <f>94.5*D35</f>
        <v>945</v>
      </c>
      <c r="G35" s="267">
        <f>F35/J35</f>
        <v>1</v>
      </c>
      <c r="H35" s="266">
        <f>11*E35</f>
        <v>0</v>
      </c>
      <c r="I35" s="267">
        <f>H35/J35</f>
        <v>0</v>
      </c>
      <c r="J35" s="268">
        <f>H35+F35</f>
        <v>945</v>
      </c>
      <c r="K35" s="182">
        <f>G35*N35</f>
        <v>1098392.4190511999</v>
      </c>
      <c r="L35" s="87">
        <f>I35*N35</f>
        <v>0</v>
      </c>
      <c r="M35" s="88">
        <v>159.51</v>
      </c>
      <c r="N35" s="89">
        <f>D50*J35*M35</f>
        <v>1098392.4190511999</v>
      </c>
      <c r="O35" s="90">
        <v>0</v>
      </c>
      <c r="P35" s="91">
        <v>0</v>
      </c>
      <c r="Q35" s="92">
        <v>0</v>
      </c>
      <c r="R35" s="92">
        <v>0</v>
      </c>
      <c r="S35" s="156">
        <v>0</v>
      </c>
      <c r="T35" s="156">
        <v>0</v>
      </c>
      <c r="U35" s="156">
        <v>0</v>
      </c>
      <c r="V35" s="281">
        <v>0</v>
      </c>
      <c r="W35" s="281">
        <f t="shared" si="20"/>
        <v>0</v>
      </c>
      <c r="X35" s="287">
        <f t="shared" si="20"/>
        <v>0</v>
      </c>
      <c r="Y35" s="260">
        <v>0</v>
      </c>
      <c r="Z35" s="93">
        <v>0</v>
      </c>
      <c r="AA35" s="94">
        <v>0</v>
      </c>
      <c r="AB35" s="94">
        <v>0</v>
      </c>
      <c r="AC35" s="94">
        <v>0</v>
      </c>
      <c r="AD35" s="95">
        <v>0</v>
      </c>
      <c r="AE35" s="253">
        <f>D35</f>
        <v>10</v>
      </c>
      <c r="AF35" s="230">
        <f>E35</f>
        <v>0</v>
      </c>
      <c r="AG35" s="228">
        <f>AJ35*G35</f>
        <v>1098392.4190511999</v>
      </c>
      <c r="AH35" s="228">
        <f>AJ35*I35</f>
        <v>0</v>
      </c>
      <c r="AI35" s="710">
        <v>159.51</v>
      </c>
      <c r="AJ35" s="231">
        <f>D50*J35*AI35</f>
        <v>1098392.4190511999</v>
      </c>
      <c r="AK35" s="199">
        <v>0</v>
      </c>
      <c r="AL35" s="200">
        <v>0</v>
      </c>
      <c r="AM35" s="201">
        <v>0</v>
      </c>
      <c r="AN35" s="201">
        <v>0</v>
      </c>
      <c r="AO35" s="693">
        <v>0</v>
      </c>
      <c r="AP35" s="202">
        <v>0</v>
      </c>
      <c r="AQ35" s="74">
        <f>AP35+AJ35+AD35+V35+P35-N35</f>
        <v>0</v>
      </c>
    </row>
    <row r="36" spans="1:44" s="132" customFormat="1" ht="18.75" customHeight="1">
      <c r="A36" s="932"/>
      <c r="B36" s="895" t="s">
        <v>55</v>
      </c>
      <c r="C36" s="896"/>
      <c r="D36" s="122">
        <f>SUM(D33:D34)</f>
        <v>395</v>
      </c>
      <c r="E36" s="122">
        <f>SUM(E33:E34)</f>
        <v>395</v>
      </c>
      <c r="F36" s="123">
        <f>SUM(F33:F34)</f>
        <v>24000</v>
      </c>
      <c r="G36" s="124">
        <f t="shared" si="14"/>
        <v>0.90653954967647876</v>
      </c>
      <c r="H36" s="123">
        <f>SUM(H33:H34)</f>
        <v>2474.3000000000002</v>
      </c>
      <c r="I36" s="124">
        <f t="shared" si="15"/>
        <v>9.3460450323521307E-2</v>
      </c>
      <c r="J36" s="125">
        <f>SUM(J33:J34)</f>
        <v>26474.3</v>
      </c>
      <c r="K36" s="126">
        <f>SUM(K33:K35)</f>
        <v>45847458.156651199</v>
      </c>
      <c r="L36" s="127">
        <f>SUM(L33:L35)</f>
        <v>4365228.0571553921</v>
      </c>
      <c r="M36" s="120" t="s">
        <v>36</v>
      </c>
      <c r="N36" s="128">
        <f>SUM(N33:N35)</f>
        <v>50212686.213806592</v>
      </c>
      <c r="O36" s="129" t="s">
        <v>36</v>
      </c>
      <c r="P36" s="127">
        <f>SUM(P33:P35)</f>
        <v>3404420.65</v>
      </c>
      <c r="Q36" s="130">
        <f>SUM(Q33:Q34)</f>
        <v>0</v>
      </c>
      <c r="R36" s="130">
        <f>SUM(R33:R34)</f>
        <v>0</v>
      </c>
      <c r="S36" s="127">
        <f>SUM(S33:S35)</f>
        <v>695390.02770963695</v>
      </c>
      <c r="T36" s="127">
        <f>SUM(T33:T35)</f>
        <v>54609.97229036309</v>
      </c>
      <c r="U36" s="120" t="s">
        <v>36</v>
      </c>
      <c r="V36" s="123">
        <f>SUM(V33:V35)</f>
        <v>750000</v>
      </c>
      <c r="W36" s="120" t="s">
        <v>36</v>
      </c>
      <c r="X36" s="123">
        <f>SUM(X33:X35)</f>
        <v>4154420.65</v>
      </c>
      <c r="Y36" s="261">
        <f>SUM(Y33:Y34)</f>
        <v>0</v>
      </c>
      <c r="Z36" s="130">
        <f>SUM(Z33:Z34)</f>
        <v>0</v>
      </c>
      <c r="AA36" s="127">
        <f>SUM(AA33:AA35)</f>
        <v>3893968.9884950435</v>
      </c>
      <c r="AB36" s="127">
        <f>SUM(AB33:AB35)</f>
        <v>456155.83750495641</v>
      </c>
      <c r="AC36" s="679" t="s">
        <v>43</v>
      </c>
      <c r="AD36" s="125">
        <f>SUM(AD33:AD35)</f>
        <v>4350124.8259999994</v>
      </c>
      <c r="AE36" s="178">
        <f>SUM(AE33:AE34)</f>
        <v>129</v>
      </c>
      <c r="AF36" s="130">
        <f>SUM(AF33:AF34)</f>
        <v>129</v>
      </c>
      <c r="AG36" s="127">
        <f>SUM(AG33:AG35)</f>
        <v>12127275.917264039</v>
      </c>
      <c r="AH36" s="127">
        <f>SUM(AH33:AH35)</f>
        <v>1774480.5527471621</v>
      </c>
      <c r="AI36" s="690" t="s">
        <v>43</v>
      </c>
      <c r="AJ36" s="125">
        <f>SUM(AJ33:AJ35)</f>
        <v>13901756.470011201</v>
      </c>
      <c r="AK36" s="130">
        <f>SUM(AK33:AK34)</f>
        <v>67</v>
      </c>
      <c r="AL36" s="130">
        <f>SUM(AL33:AL34)</f>
        <v>67</v>
      </c>
      <c r="AM36" s="127">
        <f>SUM(AM33:AM35)</f>
        <v>8183503.7683516741</v>
      </c>
      <c r="AN36" s="127">
        <f>SUM(AN33:AN35)</f>
        <v>642662.24164832605</v>
      </c>
      <c r="AO36" s="690" t="s">
        <v>43</v>
      </c>
      <c r="AP36" s="125">
        <f>SUM(AP33:AP35)</f>
        <v>8826166.0099999998</v>
      </c>
      <c r="AQ36" s="74">
        <f t="shared" si="18"/>
        <v>-18980218.257795393</v>
      </c>
      <c r="AR36" s="131"/>
    </row>
    <row r="37" spans="1:44" s="73" customFormat="1" ht="17.25" customHeight="1">
      <c r="A37" s="933" t="s">
        <v>47</v>
      </c>
      <c r="B37" s="96">
        <v>1</v>
      </c>
      <c r="C37" s="668" t="s">
        <v>38</v>
      </c>
      <c r="D37" s="669">
        <v>400</v>
      </c>
      <c r="E37" s="669">
        <v>400</v>
      </c>
      <c r="F37" s="670">
        <v>26000</v>
      </c>
      <c r="G37" s="97">
        <f t="shared" ref="G37:G45" si="21">F37/J37</f>
        <v>0.85526315789473684</v>
      </c>
      <c r="H37" s="670">
        <v>4400</v>
      </c>
      <c r="I37" s="97">
        <f t="shared" ref="I37:I45" si="22">H37/J37</f>
        <v>0.14473684210526316</v>
      </c>
      <c r="J37" s="98">
        <f t="shared" ref="J37:J43" si="23">H37+F37</f>
        <v>30400</v>
      </c>
      <c r="K37" s="724">
        <f t="shared" ref="K37:K43" si="24">M37*$D$50*F37</f>
        <v>52544064.28543999</v>
      </c>
      <c r="L37" s="100">
        <f t="shared" ref="L37:L43" si="25">M37*$D$50*H37</f>
        <v>8892072.4175359979</v>
      </c>
      <c r="M37" s="210">
        <v>277.33999999999997</v>
      </c>
      <c r="N37" s="101">
        <f t="shared" ref="N37:N43" si="26">SUM(K37:L37)</f>
        <v>61436136.702975988</v>
      </c>
      <c r="O37" s="102">
        <v>0</v>
      </c>
      <c r="P37" s="102">
        <v>0</v>
      </c>
      <c r="Q37" s="276">
        <v>0</v>
      </c>
      <c r="R37" s="104">
        <v>0</v>
      </c>
      <c r="S37" s="105">
        <f t="shared" ref="S37:S42" si="27">V37*G37</f>
        <v>4203789.4736842103</v>
      </c>
      <c r="T37" s="105">
        <f t="shared" ref="T37:T42" si="28">V37*I37</f>
        <v>711410.52631578955</v>
      </c>
      <c r="U37" s="105">
        <f>V37/$D$50/J37</f>
        <v>22.188595200745539</v>
      </c>
      <c r="V37" s="277">
        <v>4915200</v>
      </c>
      <c r="W37" s="277">
        <f t="shared" ref="W37:X43" si="29">U37+O37</f>
        <v>22.188595200745539</v>
      </c>
      <c r="X37" s="283">
        <f t="shared" si="29"/>
        <v>4915200</v>
      </c>
      <c r="Y37" s="256">
        <v>0</v>
      </c>
      <c r="Z37" s="106">
        <v>0</v>
      </c>
      <c r="AA37" s="150">
        <f t="shared" ref="AA37:AA42" si="30">AD37*G37</f>
        <v>1540585.5861842104</v>
      </c>
      <c r="AB37" s="150">
        <f t="shared" ref="AB37:AB42" si="31">AD37*I37</f>
        <v>260714.48381578946</v>
      </c>
      <c r="AC37" s="150">
        <f>AD37/J37/$D$50</f>
        <v>8.1315751318979075</v>
      </c>
      <c r="AD37" s="107">
        <f>1000000+801300.07</f>
        <v>1801300.0699999998</v>
      </c>
      <c r="AE37" s="725">
        <v>0</v>
      </c>
      <c r="AF37" s="726">
        <v>0</v>
      </c>
      <c r="AG37" s="758">
        <f t="shared" ref="AG37:AG42" si="32">AJ37*G37</f>
        <v>427631.57894736843</v>
      </c>
      <c r="AH37" s="758">
        <f>I37*AJ37</f>
        <v>72368.421052631587</v>
      </c>
      <c r="AI37" s="727">
        <f>AJ37/J37/$D$50</f>
        <v>2.2571406250758397</v>
      </c>
      <c r="AJ37" s="728">
        <v>500000</v>
      </c>
      <c r="AK37" s="729">
        <v>0</v>
      </c>
      <c r="AL37" s="729">
        <v>0</v>
      </c>
      <c r="AM37" s="730">
        <f t="shared" ref="AM37:AM43" si="33">AP37*G37</f>
        <v>2138157.8947368423</v>
      </c>
      <c r="AN37" s="730">
        <f t="shared" ref="AN37:AN43" si="34">AP37*I37</f>
        <v>361842.10526315792</v>
      </c>
      <c r="AO37" s="731">
        <v>79.239999999999995</v>
      </c>
      <c r="AP37" s="732">
        <v>2500000</v>
      </c>
      <c r="AQ37" s="74">
        <f>N37-X37-AD37-AJ37-AP37</f>
        <v>51719636.632975988</v>
      </c>
      <c r="AR37" s="74"/>
    </row>
    <row r="38" spans="1:44" s="72" customFormat="1" ht="15" customHeight="1">
      <c r="A38" s="931"/>
      <c r="B38" s="133">
        <v>2</v>
      </c>
      <c r="C38" s="714" t="s">
        <v>34</v>
      </c>
      <c r="D38" s="715">
        <v>32</v>
      </c>
      <c r="E38" s="715">
        <v>0</v>
      </c>
      <c r="F38" s="109">
        <v>2274.88</v>
      </c>
      <c r="G38" s="61">
        <f t="shared" si="21"/>
        <v>1</v>
      </c>
      <c r="H38" s="109">
        <v>0</v>
      </c>
      <c r="I38" s="61">
        <f t="shared" si="22"/>
        <v>0</v>
      </c>
      <c r="J38" s="62">
        <f t="shared" si="23"/>
        <v>2274.88</v>
      </c>
      <c r="K38" s="108">
        <f t="shared" si="24"/>
        <v>3283830.7956500482</v>
      </c>
      <c r="L38" s="64">
        <f t="shared" si="25"/>
        <v>0</v>
      </c>
      <c r="M38" s="716">
        <v>198.1</v>
      </c>
      <c r="N38" s="66">
        <f t="shared" si="26"/>
        <v>3283830.7956500482</v>
      </c>
      <c r="O38" s="67">
        <v>0</v>
      </c>
      <c r="P38" s="67">
        <v>0</v>
      </c>
      <c r="Q38" s="121">
        <v>0</v>
      </c>
      <c r="R38" s="69">
        <v>0</v>
      </c>
      <c r="S38" s="154">
        <f t="shared" si="27"/>
        <v>0</v>
      </c>
      <c r="T38" s="154">
        <f t="shared" si="28"/>
        <v>0</v>
      </c>
      <c r="U38" s="154">
        <v>0</v>
      </c>
      <c r="V38" s="154">
        <f>J38*D65*U38</f>
        <v>0</v>
      </c>
      <c r="W38" s="282">
        <f t="shared" si="29"/>
        <v>0</v>
      </c>
      <c r="X38" s="285">
        <f t="shared" si="29"/>
        <v>0</v>
      </c>
      <c r="Y38" s="258">
        <v>0</v>
      </c>
      <c r="Z38" s="70">
        <v>0</v>
      </c>
      <c r="AA38" s="149">
        <f t="shared" si="30"/>
        <v>580182.11937279999</v>
      </c>
      <c r="AB38" s="149">
        <f t="shared" si="31"/>
        <v>0</v>
      </c>
      <c r="AC38" s="149">
        <v>35</v>
      </c>
      <c r="AD38" s="71">
        <f>AC38*J38*D50</f>
        <v>580182.11937279999</v>
      </c>
      <c r="AE38" s="717">
        <v>0</v>
      </c>
      <c r="AF38" s="718">
        <v>0</v>
      </c>
      <c r="AG38" s="759">
        <f t="shared" si="32"/>
        <v>0</v>
      </c>
      <c r="AH38" s="759">
        <f>AJ38*I38</f>
        <v>0</v>
      </c>
      <c r="AI38" s="719">
        <v>0</v>
      </c>
      <c r="AJ38" s="720">
        <f>AI38*J38*D50</f>
        <v>0</v>
      </c>
      <c r="AK38" s="721">
        <v>32</v>
      </c>
      <c r="AL38" s="722">
        <v>0</v>
      </c>
      <c r="AM38" s="686">
        <f t="shared" si="33"/>
        <v>2703648.6762772482</v>
      </c>
      <c r="AN38" s="686">
        <f t="shared" si="34"/>
        <v>0</v>
      </c>
      <c r="AO38" s="692">
        <v>163.1</v>
      </c>
      <c r="AP38" s="723">
        <f>AO38*J38*D50</f>
        <v>2703648.6762772482</v>
      </c>
      <c r="AQ38" s="74">
        <f t="shared" ref="AQ38:AQ43" si="35">AP38+AJ38+AD38+V38+P38-N38</f>
        <v>0</v>
      </c>
    </row>
    <row r="39" spans="1:44" s="73" customFormat="1" ht="15" customHeight="1">
      <c r="A39" s="931"/>
      <c r="B39" s="57">
        <v>3</v>
      </c>
      <c r="C39" s="58" t="s">
        <v>35</v>
      </c>
      <c r="D39" s="59">
        <v>50</v>
      </c>
      <c r="E39" s="59">
        <v>0</v>
      </c>
      <c r="F39" s="60">
        <v>3250</v>
      </c>
      <c r="G39" s="61">
        <f t="shared" si="21"/>
        <v>1</v>
      </c>
      <c r="H39" s="60">
        <v>0</v>
      </c>
      <c r="I39" s="61">
        <f t="shared" si="22"/>
        <v>0</v>
      </c>
      <c r="J39" s="62">
        <f t="shared" si="23"/>
        <v>3250</v>
      </c>
      <c r="K39" s="108">
        <f t="shared" si="24"/>
        <v>4691434.3112000003</v>
      </c>
      <c r="L39" s="64">
        <f t="shared" si="25"/>
        <v>0</v>
      </c>
      <c r="M39" s="65">
        <v>198.1</v>
      </c>
      <c r="N39" s="66">
        <f t="shared" si="26"/>
        <v>4691434.3112000003</v>
      </c>
      <c r="O39" s="67">
        <v>0</v>
      </c>
      <c r="P39" s="67">
        <v>0</v>
      </c>
      <c r="Q39" s="121">
        <v>0</v>
      </c>
      <c r="R39" s="69">
        <v>0</v>
      </c>
      <c r="S39" s="154">
        <f t="shared" si="27"/>
        <v>0</v>
      </c>
      <c r="T39" s="154">
        <f t="shared" si="28"/>
        <v>0</v>
      </c>
      <c r="U39" s="154">
        <v>0</v>
      </c>
      <c r="V39" s="280">
        <f>U39*J39*D64</f>
        <v>0</v>
      </c>
      <c r="W39" s="282">
        <f t="shared" si="29"/>
        <v>0</v>
      </c>
      <c r="X39" s="285">
        <f t="shared" si="29"/>
        <v>0</v>
      </c>
      <c r="Y39" s="258">
        <v>0</v>
      </c>
      <c r="Z39" s="70">
        <v>0</v>
      </c>
      <c r="AA39" s="149">
        <f t="shared" si="30"/>
        <v>828875.32</v>
      </c>
      <c r="AB39" s="149">
        <f t="shared" si="31"/>
        <v>0</v>
      </c>
      <c r="AC39" s="149">
        <v>35</v>
      </c>
      <c r="AD39" s="71">
        <f>AC39*J39*D50</f>
        <v>828875.32</v>
      </c>
      <c r="AE39" s="222">
        <v>0</v>
      </c>
      <c r="AF39" s="227">
        <v>0</v>
      </c>
      <c r="AG39" s="760">
        <f t="shared" si="32"/>
        <v>0</v>
      </c>
      <c r="AH39" s="760">
        <f>AJ39*I39</f>
        <v>0</v>
      </c>
      <c r="AI39" s="703">
        <v>0</v>
      </c>
      <c r="AJ39" s="229">
        <f>AI39*J39*D50</f>
        <v>0</v>
      </c>
      <c r="AK39" s="193">
        <v>50</v>
      </c>
      <c r="AL39" s="184">
        <v>0</v>
      </c>
      <c r="AM39" s="203">
        <f t="shared" si="33"/>
        <v>3862558.9912</v>
      </c>
      <c r="AN39" s="203">
        <f t="shared" si="34"/>
        <v>0</v>
      </c>
      <c r="AO39" s="692">
        <v>163.1</v>
      </c>
      <c r="AP39" s="185">
        <f>AO39*J39*D50</f>
        <v>3862558.9912</v>
      </c>
      <c r="AQ39" s="74">
        <f t="shared" si="35"/>
        <v>0</v>
      </c>
    </row>
    <row r="40" spans="1:44" s="73" customFormat="1" ht="15" customHeight="1">
      <c r="A40" s="931"/>
      <c r="B40" s="57">
        <v>4</v>
      </c>
      <c r="C40" s="58" t="s">
        <v>6</v>
      </c>
      <c r="D40" s="59">
        <v>12</v>
      </c>
      <c r="E40" s="59">
        <v>0</v>
      </c>
      <c r="F40" s="60">
        <v>780</v>
      </c>
      <c r="G40" s="61">
        <f t="shared" si="21"/>
        <v>1</v>
      </c>
      <c r="H40" s="60">
        <v>0</v>
      </c>
      <c r="I40" s="61">
        <f t="shared" si="22"/>
        <v>0</v>
      </c>
      <c r="J40" s="62">
        <f t="shared" si="23"/>
        <v>780</v>
      </c>
      <c r="K40" s="108">
        <f t="shared" si="24"/>
        <v>1125944.2346880001</v>
      </c>
      <c r="L40" s="64">
        <f t="shared" si="25"/>
        <v>0</v>
      </c>
      <c r="M40" s="65">
        <v>198.1</v>
      </c>
      <c r="N40" s="66">
        <f t="shared" si="26"/>
        <v>1125944.2346880001</v>
      </c>
      <c r="O40" s="67">
        <v>0</v>
      </c>
      <c r="P40" s="677">
        <v>0</v>
      </c>
      <c r="Q40" s="121">
        <v>0</v>
      </c>
      <c r="R40" s="69">
        <v>0</v>
      </c>
      <c r="S40" s="154">
        <f t="shared" si="27"/>
        <v>0</v>
      </c>
      <c r="T40" s="154">
        <f t="shared" si="28"/>
        <v>0</v>
      </c>
      <c r="U40" s="154">
        <v>0</v>
      </c>
      <c r="V40" s="280">
        <f>U40*J40*D64</f>
        <v>0</v>
      </c>
      <c r="W40" s="282">
        <f t="shared" si="29"/>
        <v>0</v>
      </c>
      <c r="X40" s="285">
        <f t="shared" si="29"/>
        <v>0</v>
      </c>
      <c r="Y40" s="258">
        <v>0</v>
      </c>
      <c r="Z40" s="70">
        <v>0</v>
      </c>
      <c r="AA40" s="149">
        <f t="shared" si="30"/>
        <v>198930.07680000001</v>
      </c>
      <c r="AB40" s="149">
        <f t="shared" si="31"/>
        <v>0</v>
      </c>
      <c r="AC40" s="149">
        <v>35</v>
      </c>
      <c r="AD40" s="71">
        <f>AC40*J40*D50</f>
        <v>198930.07680000001</v>
      </c>
      <c r="AE40" s="222">
        <v>0</v>
      </c>
      <c r="AF40" s="218">
        <v>0</v>
      </c>
      <c r="AG40" s="760">
        <f t="shared" si="32"/>
        <v>0</v>
      </c>
      <c r="AH40" s="760">
        <f>AJ40*I40</f>
        <v>0</v>
      </c>
      <c r="AI40" s="703">
        <v>0</v>
      </c>
      <c r="AJ40" s="229">
        <f>AI40*J40*D50</f>
        <v>0</v>
      </c>
      <c r="AK40" s="193">
        <v>12</v>
      </c>
      <c r="AL40" s="184">
        <v>0</v>
      </c>
      <c r="AM40" s="203">
        <f t="shared" si="33"/>
        <v>927014.15788800002</v>
      </c>
      <c r="AN40" s="203">
        <f t="shared" si="34"/>
        <v>0</v>
      </c>
      <c r="AO40" s="692">
        <v>163.1</v>
      </c>
      <c r="AP40" s="185">
        <f>AO40*J40*D50</f>
        <v>927014.15788800002</v>
      </c>
      <c r="AQ40" s="74">
        <f t="shared" si="35"/>
        <v>0</v>
      </c>
    </row>
    <row r="41" spans="1:44" s="73" customFormat="1" ht="15" customHeight="1">
      <c r="A41" s="931"/>
      <c r="B41" s="57">
        <v>5</v>
      </c>
      <c r="C41" s="58" t="s">
        <v>10</v>
      </c>
      <c r="D41" s="59">
        <v>10</v>
      </c>
      <c r="E41" s="59">
        <v>0</v>
      </c>
      <c r="F41" s="60">
        <v>650</v>
      </c>
      <c r="G41" s="61">
        <f t="shared" si="21"/>
        <v>1</v>
      </c>
      <c r="H41" s="60">
        <v>0</v>
      </c>
      <c r="I41" s="61">
        <f t="shared" si="22"/>
        <v>0</v>
      </c>
      <c r="J41" s="62">
        <f t="shared" si="23"/>
        <v>650</v>
      </c>
      <c r="K41" s="108">
        <f t="shared" si="24"/>
        <v>938286.86224000005</v>
      </c>
      <c r="L41" s="64">
        <f t="shared" si="25"/>
        <v>0</v>
      </c>
      <c r="M41" s="65">
        <v>198.1</v>
      </c>
      <c r="N41" s="66">
        <f t="shared" si="26"/>
        <v>938286.86224000005</v>
      </c>
      <c r="O41" s="67">
        <v>0</v>
      </c>
      <c r="P41" s="67">
        <v>0</v>
      </c>
      <c r="Q41" s="121">
        <v>0</v>
      </c>
      <c r="R41" s="69">
        <v>0</v>
      </c>
      <c r="S41" s="154">
        <f t="shared" si="27"/>
        <v>0</v>
      </c>
      <c r="T41" s="154">
        <f t="shared" si="28"/>
        <v>0</v>
      </c>
      <c r="U41" s="154">
        <v>0</v>
      </c>
      <c r="V41" s="280">
        <v>0</v>
      </c>
      <c r="W41" s="282">
        <f t="shared" si="29"/>
        <v>0</v>
      </c>
      <c r="X41" s="285">
        <f t="shared" si="29"/>
        <v>0</v>
      </c>
      <c r="Y41" s="258">
        <v>0</v>
      </c>
      <c r="Z41" s="70">
        <v>0</v>
      </c>
      <c r="AA41" s="149">
        <f t="shared" si="30"/>
        <v>165775.06400000001</v>
      </c>
      <c r="AB41" s="149">
        <f t="shared" si="31"/>
        <v>0</v>
      </c>
      <c r="AC41" s="149">
        <v>35</v>
      </c>
      <c r="AD41" s="71">
        <f>AC41*J41*D50</f>
        <v>165775.06400000001</v>
      </c>
      <c r="AE41" s="222">
        <v>0</v>
      </c>
      <c r="AF41" s="227">
        <v>0</v>
      </c>
      <c r="AG41" s="760">
        <f t="shared" si="32"/>
        <v>0</v>
      </c>
      <c r="AH41" s="761">
        <f>AJ41*I41</f>
        <v>0</v>
      </c>
      <c r="AI41" s="703">
        <v>0</v>
      </c>
      <c r="AJ41" s="229">
        <f>AI41*J41*D50</f>
        <v>0</v>
      </c>
      <c r="AK41" s="193">
        <v>10</v>
      </c>
      <c r="AL41" s="184">
        <v>0</v>
      </c>
      <c r="AM41" s="203">
        <f t="shared" si="33"/>
        <v>772511.79824000003</v>
      </c>
      <c r="AN41" s="203">
        <f t="shared" si="34"/>
        <v>0</v>
      </c>
      <c r="AO41" s="692">
        <v>163.1</v>
      </c>
      <c r="AP41" s="185">
        <f>AO41*J41*D50</f>
        <v>772511.79824000003</v>
      </c>
      <c r="AQ41" s="74">
        <f t="shared" si="35"/>
        <v>0</v>
      </c>
    </row>
    <row r="42" spans="1:44" s="73" customFormat="1" ht="17.25" customHeight="1">
      <c r="A42" s="931"/>
      <c r="B42" s="167">
        <v>6</v>
      </c>
      <c r="C42" s="168" t="s">
        <v>40</v>
      </c>
      <c r="D42" s="169">
        <v>100</v>
      </c>
      <c r="E42" s="169">
        <v>100</v>
      </c>
      <c r="F42" s="170">
        <f>65*D42</f>
        <v>6500</v>
      </c>
      <c r="G42" s="171">
        <f t="shared" si="21"/>
        <v>0.85526315789473684</v>
      </c>
      <c r="H42" s="170">
        <f>11*E42</f>
        <v>1100</v>
      </c>
      <c r="I42" s="171">
        <f t="shared" si="22"/>
        <v>0.14473684210526316</v>
      </c>
      <c r="J42" s="172">
        <f t="shared" si="23"/>
        <v>7600</v>
      </c>
      <c r="K42" s="112">
        <f t="shared" si="24"/>
        <v>9382868.6224000007</v>
      </c>
      <c r="L42" s="113">
        <f t="shared" si="25"/>
        <v>1587870.0745600001</v>
      </c>
      <c r="M42" s="65">
        <v>198.1</v>
      </c>
      <c r="N42" s="114">
        <f t="shared" si="26"/>
        <v>10970738.69696</v>
      </c>
      <c r="O42" s="115">
        <v>0</v>
      </c>
      <c r="P42" s="187">
        <v>0</v>
      </c>
      <c r="Q42" s="174">
        <v>0</v>
      </c>
      <c r="R42" s="174">
        <v>0</v>
      </c>
      <c r="S42" s="155">
        <f t="shared" si="27"/>
        <v>0</v>
      </c>
      <c r="T42" s="155">
        <f t="shared" si="28"/>
        <v>0</v>
      </c>
      <c r="U42" s="155">
        <v>0</v>
      </c>
      <c r="V42" s="280">
        <v>0</v>
      </c>
      <c r="W42" s="282">
        <f t="shared" si="29"/>
        <v>0</v>
      </c>
      <c r="X42" s="285">
        <f t="shared" si="29"/>
        <v>0</v>
      </c>
      <c r="Y42" s="262">
        <v>0</v>
      </c>
      <c r="Z42" s="181">
        <v>0</v>
      </c>
      <c r="AA42" s="151">
        <f t="shared" si="30"/>
        <v>1657750.6400000001</v>
      </c>
      <c r="AB42" s="151">
        <f t="shared" si="31"/>
        <v>280542.41600000003</v>
      </c>
      <c r="AC42" s="151">
        <v>35</v>
      </c>
      <c r="AD42" s="118">
        <f>AC42*J42*D50</f>
        <v>1938293.0560000001</v>
      </c>
      <c r="AE42" s="222">
        <v>0</v>
      </c>
      <c r="AF42" s="227">
        <v>0</v>
      </c>
      <c r="AG42" s="760">
        <f t="shared" si="32"/>
        <v>0</v>
      </c>
      <c r="AH42" s="760">
        <f>AJ42*I42</f>
        <v>0</v>
      </c>
      <c r="AI42" s="703">
        <v>0</v>
      </c>
      <c r="AJ42" s="229">
        <f>D50*J42*AI42</f>
        <v>0</v>
      </c>
      <c r="AK42" s="274">
        <v>100</v>
      </c>
      <c r="AL42" s="289">
        <v>100</v>
      </c>
      <c r="AM42" s="203">
        <f t="shared" si="33"/>
        <v>7725117.9824000001</v>
      </c>
      <c r="AN42" s="203">
        <f t="shared" si="34"/>
        <v>1307327.6585600001</v>
      </c>
      <c r="AO42" s="692">
        <v>163.1</v>
      </c>
      <c r="AP42" s="185">
        <f>AO42*D50*J42</f>
        <v>9032445.6409600005</v>
      </c>
      <c r="AQ42" s="74">
        <f t="shared" si="35"/>
        <v>0</v>
      </c>
    </row>
    <row r="43" spans="1:44" s="73" customFormat="1" ht="17.25" customHeight="1">
      <c r="A43" s="931"/>
      <c r="B43" s="271">
        <v>7</v>
      </c>
      <c r="C43" s="272" t="s">
        <v>53</v>
      </c>
      <c r="D43" s="265">
        <v>10</v>
      </c>
      <c r="E43" s="265">
        <v>0</v>
      </c>
      <c r="F43" s="266">
        <f>94.5*D43</f>
        <v>945</v>
      </c>
      <c r="G43" s="267">
        <f t="shared" si="21"/>
        <v>1</v>
      </c>
      <c r="H43" s="266">
        <f>11*E43</f>
        <v>0</v>
      </c>
      <c r="I43" s="267">
        <f t="shared" si="22"/>
        <v>0</v>
      </c>
      <c r="J43" s="268">
        <f t="shared" si="23"/>
        <v>945</v>
      </c>
      <c r="K43" s="182">
        <f t="shared" si="24"/>
        <v>1098392.4190511999</v>
      </c>
      <c r="L43" s="87">
        <f t="shared" si="25"/>
        <v>0</v>
      </c>
      <c r="M43" s="88">
        <v>159.51</v>
      </c>
      <c r="N43" s="89">
        <f t="shared" si="26"/>
        <v>1098392.4190511999</v>
      </c>
      <c r="O43" s="90">
        <v>0</v>
      </c>
      <c r="P43" s="90">
        <v>0</v>
      </c>
      <c r="Q43" s="92">
        <v>0</v>
      </c>
      <c r="R43" s="176">
        <v>0</v>
      </c>
      <c r="S43" s="156">
        <v>0</v>
      </c>
      <c r="T43" s="156">
        <v>0</v>
      </c>
      <c r="U43" s="156">
        <v>0</v>
      </c>
      <c r="V43" s="281">
        <v>0</v>
      </c>
      <c r="W43" s="279">
        <f t="shared" si="29"/>
        <v>0</v>
      </c>
      <c r="X43" s="284">
        <f t="shared" si="29"/>
        <v>0</v>
      </c>
      <c r="Y43" s="260">
        <v>0</v>
      </c>
      <c r="Z43" s="93">
        <v>0</v>
      </c>
      <c r="AA43" s="94">
        <v>0</v>
      </c>
      <c r="AB43" s="94">
        <v>0</v>
      </c>
      <c r="AC43" s="94">
        <v>0</v>
      </c>
      <c r="AD43" s="95">
        <v>0</v>
      </c>
      <c r="AE43" s="253">
        <v>0</v>
      </c>
      <c r="AF43" s="230">
        <v>0</v>
      </c>
      <c r="AG43" s="762">
        <v>0</v>
      </c>
      <c r="AH43" s="762">
        <v>0</v>
      </c>
      <c r="AI43" s="710">
        <v>0</v>
      </c>
      <c r="AJ43" s="231">
        <v>0</v>
      </c>
      <c r="AK43" s="199">
        <f>D43</f>
        <v>10</v>
      </c>
      <c r="AL43" s="200">
        <f>E43</f>
        <v>0</v>
      </c>
      <c r="AM43" s="204">
        <f t="shared" si="33"/>
        <v>1098392.4190511999</v>
      </c>
      <c r="AN43" s="204">
        <f t="shared" si="34"/>
        <v>0</v>
      </c>
      <c r="AO43" s="694">
        <f>M43-O43-U43-AC43-AI43</f>
        <v>159.51</v>
      </c>
      <c r="AP43" s="189">
        <f>AO43*D50*J43</f>
        <v>1098392.4190511999</v>
      </c>
      <c r="AQ43" s="74">
        <f t="shared" si="35"/>
        <v>0</v>
      </c>
      <c r="AR43" s="74"/>
    </row>
    <row r="44" spans="1:44" s="138" customFormat="1" ht="18.75" customHeight="1" thickBot="1">
      <c r="A44" s="931"/>
      <c r="B44" s="877" t="s">
        <v>56</v>
      </c>
      <c r="C44" s="878"/>
      <c r="D44" s="232">
        <f>SUM(D37:D42)</f>
        <v>604</v>
      </c>
      <c r="E44" s="232">
        <f>SUM(E37:E42)</f>
        <v>500</v>
      </c>
      <c r="F44" s="233">
        <f>SUM(F37:F42)</f>
        <v>39454.880000000005</v>
      </c>
      <c r="G44" s="234">
        <f t="shared" si="21"/>
        <v>0.87765510663136015</v>
      </c>
      <c r="H44" s="233">
        <f>SUM(H37:H42)</f>
        <v>5500</v>
      </c>
      <c r="I44" s="234">
        <f t="shared" si="22"/>
        <v>0.12234489336863984</v>
      </c>
      <c r="J44" s="235">
        <f>SUM(J37:J42)</f>
        <v>44954.880000000005</v>
      </c>
      <c r="K44" s="236">
        <f>SUM(K37:K43)</f>
        <v>73064821.530669242</v>
      </c>
      <c r="L44" s="237">
        <f>SUM(L37:L43)</f>
        <v>10479942.492095998</v>
      </c>
      <c r="M44" s="238" t="s">
        <v>36</v>
      </c>
      <c r="N44" s="239">
        <f>SUM(N37:N43)</f>
        <v>83544764.022765249</v>
      </c>
      <c r="O44" s="238" t="s">
        <v>36</v>
      </c>
      <c r="P44" s="240">
        <f>SUM(P37:P43)</f>
        <v>0</v>
      </c>
      <c r="Q44" s="241">
        <f>SUM(Q37:Q42)</f>
        <v>0</v>
      </c>
      <c r="R44" s="241">
        <f>SUM(R37:R42)</f>
        <v>0</v>
      </c>
      <c r="S44" s="242">
        <f>SUM(S37:S43)</f>
        <v>4203789.4736842103</v>
      </c>
      <c r="T44" s="242">
        <f>SUM(T37:T43)</f>
        <v>711410.52631578955</v>
      </c>
      <c r="U44" s="238" t="s">
        <v>36</v>
      </c>
      <c r="V44" s="242">
        <f>SUM(V37:V43)</f>
        <v>4915200</v>
      </c>
      <c r="W44" s="238" t="s">
        <v>36</v>
      </c>
      <c r="X44" s="242">
        <f>SUM(X37:X43)</f>
        <v>4915200</v>
      </c>
      <c r="Y44" s="263">
        <f>SUM(Y37:Y42)</f>
        <v>0</v>
      </c>
      <c r="Z44" s="241">
        <f>SUM(Z37:Z42)</f>
        <v>0</v>
      </c>
      <c r="AA44" s="242">
        <f>SUM(AA37:AA43)</f>
        <v>4972098.8063570093</v>
      </c>
      <c r="AB44" s="242">
        <f>SUM(AB37:AB43)</f>
        <v>541256.89981578942</v>
      </c>
      <c r="AC44" s="711" t="s">
        <v>36</v>
      </c>
      <c r="AD44" s="243">
        <f>SUM(AD37:AD43)</f>
        <v>5513355.7061727997</v>
      </c>
      <c r="AE44" s="254">
        <f>SUM(AE37:AE42)</f>
        <v>0</v>
      </c>
      <c r="AF44" s="241">
        <f>SUM(AF37:AF42)</f>
        <v>0</v>
      </c>
      <c r="AG44" s="242">
        <f>SUM(AG37:AG43)</f>
        <v>427631.57894736843</v>
      </c>
      <c r="AH44" s="242">
        <f>SUM(AH37:AH43)</f>
        <v>72368.421052631587</v>
      </c>
      <c r="AI44" s="695" t="s">
        <v>36</v>
      </c>
      <c r="AJ44" s="243">
        <f>SUM(AJ37:AJ43)</f>
        <v>500000</v>
      </c>
      <c r="AK44" s="241">
        <f>SUM(AK37:AK42)</f>
        <v>204</v>
      </c>
      <c r="AL44" s="241">
        <f>SUM(AL37:AL42)</f>
        <v>100</v>
      </c>
      <c r="AM44" s="242">
        <f>SUM(AM37:AM43)</f>
        <v>19227401.919793293</v>
      </c>
      <c r="AN44" s="242">
        <f>SUM(AN37:AN43)</f>
        <v>1669169.7638231581</v>
      </c>
      <c r="AO44" s="695" t="s">
        <v>36</v>
      </c>
      <c r="AP44" s="243">
        <f>SUM(AP37:AP43)</f>
        <v>20896571.683616452</v>
      </c>
      <c r="AQ44" s="74">
        <f>N44-X44-AD44-AJ44-AP44</f>
        <v>51719636.632976003</v>
      </c>
    </row>
    <row r="45" spans="1:44" ht="30" customHeight="1" thickTop="1" thickBot="1">
      <c r="A45" s="245"/>
      <c r="B45" s="910" t="s">
        <v>52</v>
      </c>
      <c r="C45" s="911"/>
      <c r="D45" s="19">
        <f>D44+D36+D32+D26</f>
        <v>1408</v>
      </c>
      <c r="E45" s="19">
        <f>E44+E36+E32+E26</f>
        <v>1121</v>
      </c>
      <c r="F45" s="36">
        <f>F44+F36+F32+F26</f>
        <v>88583.33</v>
      </c>
      <c r="G45" s="244">
        <f t="shared" si="21"/>
        <v>0.89813177768454555</v>
      </c>
      <c r="H45" s="36">
        <f>H44+H36+H32+H26</f>
        <v>10047.33</v>
      </c>
      <c r="I45" s="244">
        <f t="shared" si="22"/>
        <v>0.10186822231545443</v>
      </c>
      <c r="J45" s="246">
        <f>F45+H45</f>
        <v>98630.66</v>
      </c>
      <c r="K45" s="41">
        <f>K44+K36+K32+K26</f>
        <v>165389586.07312894</v>
      </c>
      <c r="L45" s="36">
        <f>L44+L36+L32+L26</f>
        <v>18914268.161184255</v>
      </c>
      <c r="M45" s="20" t="s">
        <v>36</v>
      </c>
      <c r="N45" s="35">
        <f>N44+N36+N32+N26</f>
        <v>184303854.23431319</v>
      </c>
      <c r="O45" s="247" t="s">
        <v>36</v>
      </c>
      <c r="P45" s="36">
        <f>P32+P36+P44+P26</f>
        <v>12661604.99</v>
      </c>
      <c r="Q45" s="19">
        <f>Q32+Q36+Q44+Q26</f>
        <v>37</v>
      </c>
      <c r="R45" s="19">
        <f>R32+R36+R44+R26</f>
        <v>0</v>
      </c>
      <c r="S45" s="32">
        <f>S32+S36+S44+S26</f>
        <v>24789250.148166962</v>
      </c>
      <c r="T45" s="32">
        <f>T32+T36+T44+T26</f>
        <v>1257167.4080117154</v>
      </c>
      <c r="U45" s="20" t="s">
        <v>36</v>
      </c>
      <c r="V45" s="32">
        <f>V32+V36+V44+V26</f>
        <v>26097695.746579491</v>
      </c>
      <c r="W45" s="20" t="s">
        <v>36</v>
      </c>
      <c r="X45" s="32">
        <f>X32+X36+X44+X26</f>
        <v>38759300.736579493</v>
      </c>
      <c r="Y45" s="264">
        <f>Y32+Y36+Y44+Y26</f>
        <v>372</v>
      </c>
      <c r="Z45" s="19">
        <f>+Z32+Z36+Z44+Z26</f>
        <v>226</v>
      </c>
      <c r="AA45" s="32">
        <f>AA32+AA36+AA44+AA26</f>
        <v>27281604.56682314</v>
      </c>
      <c r="AB45" s="32">
        <f>AB32+AB36+AB44+AB26</f>
        <v>3438599.8765115212</v>
      </c>
      <c r="AC45" s="392" t="s">
        <v>36</v>
      </c>
      <c r="AD45" s="40">
        <f>AD32+AD36+AD44+AD26</f>
        <v>30720204.443334661</v>
      </c>
      <c r="AE45" s="29">
        <f>AE32+AE36+AE44+AE26</f>
        <v>129</v>
      </c>
      <c r="AF45" s="19">
        <f>AF32+AF36+AF44+AF26</f>
        <v>129</v>
      </c>
      <c r="AG45" s="32">
        <f>AG32+AG36+AG44</f>
        <v>12554907.496211408</v>
      </c>
      <c r="AH45" s="32">
        <f>AH32+AH36+AH44</f>
        <v>1846848.9737997937</v>
      </c>
      <c r="AI45" s="696" t="s">
        <v>36</v>
      </c>
      <c r="AJ45" s="40">
        <f>AJ32+AJ36+AJ44</f>
        <v>14401756.470011201</v>
      </c>
      <c r="AK45" s="29">
        <f>AK32+AK36+AK44+AK26</f>
        <v>271</v>
      </c>
      <c r="AL45" s="19">
        <f>AL32+AL36+AL44+AL26</f>
        <v>167</v>
      </c>
      <c r="AM45" s="32">
        <f>AM32+AM36+AM44</f>
        <v>27410905.688144967</v>
      </c>
      <c r="AN45" s="32">
        <f>AN32+AN36+AN44</f>
        <v>2311832.0054714843</v>
      </c>
      <c r="AO45" s="696" t="s">
        <v>36</v>
      </c>
      <c r="AP45" s="51">
        <f>AP32+AP36+AP44</f>
        <v>29722737.69361645</v>
      </c>
    </row>
    <row r="46" spans="1:44" s="460" customFormat="1" ht="16.5" thickTop="1">
      <c r="C46" s="625"/>
      <c r="G46" s="659"/>
      <c r="I46" s="659"/>
      <c r="Q46" s="660"/>
      <c r="R46" s="660"/>
      <c r="S46" s="661"/>
      <c r="T46" s="661"/>
      <c r="U46" s="661"/>
      <c r="V46" s="661"/>
      <c r="W46" s="661"/>
      <c r="X46" s="661"/>
      <c r="Y46" s="660"/>
      <c r="Z46" s="660"/>
      <c r="AA46" s="661"/>
      <c r="AB46" s="661"/>
      <c r="AC46" s="712"/>
      <c r="AD46" s="903"/>
      <c r="AE46" s="662"/>
      <c r="AF46" s="663"/>
      <c r="AG46" s="664"/>
      <c r="AH46" s="664"/>
      <c r="AI46" s="697"/>
      <c r="AJ46" s="903"/>
      <c r="AK46" s="663"/>
      <c r="AL46" s="663"/>
      <c r="AM46" s="680"/>
      <c r="AN46" s="680"/>
      <c r="AO46" s="697"/>
      <c r="AP46" s="903"/>
    </row>
    <row r="47" spans="1:44" ht="15.75">
      <c r="C47" s="626"/>
      <c r="D47" s="21"/>
      <c r="Y47" s="146"/>
      <c r="AD47" s="904"/>
      <c r="AE47" s="665"/>
      <c r="AF47" s="666"/>
      <c r="AG47" s="667"/>
      <c r="AH47" s="667"/>
      <c r="AI47" s="698"/>
      <c r="AJ47" s="904"/>
      <c r="AK47" s="666"/>
      <c r="AL47" s="666"/>
      <c r="AM47" s="681"/>
      <c r="AN47" s="681"/>
      <c r="AO47" s="698"/>
      <c r="AP47" s="904"/>
    </row>
    <row r="48" spans="1:44" ht="15.75">
      <c r="AD48" s="904"/>
      <c r="AE48" s="665"/>
      <c r="AF48" s="666"/>
      <c r="AG48" s="667"/>
      <c r="AH48" s="667"/>
      <c r="AI48" s="698"/>
      <c r="AJ48" s="904"/>
      <c r="AK48" s="666"/>
      <c r="AL48" s="666"/>
      <c r="AM48" s="681"/>
      <c r="AN48" s="681"/>
      <c r="AO48" s="698"/>
      <c r="AP48" s="904"/>
    </row>
    <row r="49" spans="1:42">
      <c r="V49" s="142"/>
      <c r="W49" s="142"/>
      <c r="X49" s="142"/>
      <c r="AG49" s="142"/>
      <c r="AJ49" s="142"/>
      <c r="AM49" s="140"/>
      <c r="AN49" s="140"/>
      <c r="AO49" s="699"/>
      <c r="AP49" s="142"/>
    </row>
    <row r="50" spans="1:42" s="504" customFormat="1">
      <c r="A50" s="924" t="s">
        <v>41</v>
      </c>
      <c r="B50" s="924"/>
      <c r="C50" s="924"/>
      <c r="D50" s="885">
        <v>7.286816</v>
      </c>
      <c r="E50" s="885"/>
      <c r="G50" s="837"/>
      <c r="I50" s="837"/>
      <c r="Q50" s="838"/>
      <c r="R50" s="838"/>
      <c r="S50" s="839"/>
      <c r="T50" s="140"/>
      <c r="U50" s="839"/>
      <c r="V50" s="140"/>
      <c r="W50" s="140"/>
      <c r="X50" s="140"/>
      <c r="Y50" s="840"/>
      <c r="Z50" s="840"/>
      <c r="AA50" s="839"/>
      <c r="AB50" s="839"/>
      <c r="AC50" s="140"/>
      <c r="AD50" s="839"/>
      <c r="AE50" s="841"/>
      <c r="AF50" s="838"/>
      <c r="AG50" s="839"/>
      <c r="AH50" s="839"/>
      <c r="AI50" s="699"/>
      <c r="AJ50" s="842"/>
      <c r="AK50" s="838"/>
      <c r="AL50" s="838"/>
      <c r="AM50" s="140"/>
      <c r="AN50" s="140"/>
      <c r="AO50" s="699"/>
      <c r="AP50" s="839"/>
    </row>
    <row r="51" spans="1:42">
      <c r="AM51" s="140"/>
      <c r="AN51" s="140"/>
      <c r="AO51" s="699" t="e">
        <f>#REF!+#REF!+#REF!+#REF!</f>
        <v>#REF!</v>
      </c>
    </row>
    <row r="52" spans="1:42" ht="20.25" customHeight="1">
      <c r="AK52" s="875" t="s">
        <v>163</v>
      </c>
      <c r="AL52" s="875"/>
      <c r="AM52" s="875"/>
      <c r="AN52" s="875"/>
      <c r="AO52" s="875"/>
      <c r="AP52" s="875"/>
    </row>
  </sheetData>
  <mergeCells count="33">
    <mergeCell ref="A18:A26"/>
    <mergeCell ref="D14:D16"/>
    <mergeCell ref="B26:C26"/>
    <mergeCell ref="A50:C50"/>
    <mergeCell ref="B14:B16"/>
    <mergeCell ref="A14:A16"/>
    <mergeCell ref="A33:A36"/>
    <mergeCell ref="A27:A32"/>
    <mergeCell ref="B32:C32"/>
    <mergeCell ref="A37:A44"/>
    <mergeCell ref="F14:I15"/>
    <mergeCell ref="Q15:V15"/>
    <mergeCell ref="B45:C45"/>
    <mergeCell ref="K14:AP14"/>
    <mergeCell ref="W15:X15"/>
    <mergeCell ref="N15:N16"/>
    <mergeCell ref="O15:P15"/>
    <mergeCell ref="AP3:AP5"/>
    <mergeCell ref="J14:J16"/>
    <mergeCell ref="M15:M16"/>
    <mergeCell ref="AJ46:AJ48"/>
    <mergeCell ref="AP46:AP48"/>
    <mergeCell ref="AD46:AD48"/>
    <mergeCell ref="AK52:AP52"/>
    <mergeCell ref="A9:AP10"/>
    <mergeCell ref="B44:C44"/>
    <mergeCell ref="AE15:AJ15"/>
    <mergeCell ref="C14:C16"/>
    <mergeCell ref="D50:E50"/>
    <mergeCell ref="E14:E16"/>
    <mergeCell ref="Y15:AD15"/>
    <mergeCell ref="AK15:AP15"/>
    <mergeCell ref="B36:C36"/>
  </mergeCells>
  <phoneticPr fontId="21" type="noConversion"/>
  <printOptions horizontalCentered="1" verticalCentered="1"/>
  <pageMargins left="0.15748031496062992" right="0.15748031496062992" top="0.19685039370078741" bottom="0.19685039370078741" header="0.15748031496062992" footer="0.15748031496062992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I41"/>
  <sheetViews>
    <sheetView tabSelected="1" zoomScaleSheetLayoutView="50" workbookViewId="0">
      <selection activeCell="J8" sqref="J8"/>
    </sheetView>
  </sheetViews>
  <sheetFormatPr defaultRowHeight="12.75" outlineLevelCol="1"/>
  <cols>
    <col min="1" max="1" width="5.33203125" style="1" customWidth="1"/>
    <col min="2" max="2" width="30.6640625" style="1" customWidth="1"/>
    <col min="3" max="3" width="12.83203125" style="1" customWidth="1"/>
    <col min="4" max="4" width="9.83203125" style="1" customWidth="1"/>
    <col min="5" max="5" width="13" style="1" customWidth="1"/>
    <col min="6" max="6" width="15.5" style="1" customWidth="1"/>
    <col min="7" max="7" width="13" style="1" customWidth="1" outlineLevel="1"/>
    <col min="8" max="8" width="8.83203125" style="1" customWidth="1" outlineLevel="1"/>
    <col min="9" max="9" width="9.83203125" style="1" customWidth="1" outlineLevel="1"/>
    <col min="10" max="10" width="14.6640625" style="1" customWidth="1" outlineLevel="1"/>
    <col min="11" max="11" width="9.83203125" style="1" customWidth="1" outlineLevel="1"/>
    <col min="12" max="12" width="14.83203125" style="1" customWidth="1" outlineLevel="1"/>
    <col min="13" max="13" width="9.83203125" style="1" customWidth="1" outlineLevel="1"/>
    <col min="14" max="14" width="14.83203125" style="1" customWidth="1" outlineLevel="1"/>
    <col min="15" max="15" width="16" style="1" customWidth="1" outlineLevel="1"/>
    <col min="16" max="16" width="10" style="1" customWidth="1"/>
    <col min="17" max="17" width="9.33203125" style="1"/>
    <col min="18" max="18" width="9.83203125" style="1" hidden="1" customWidth="1" outlineLevel="1"/>
    <col min="19" max="19" width="14.83203125" style="1" hidden="1" customWidth="1" outlineLevel="1"/>
    <col min="20" max="20" width="10" style="1" hidden="1" customWidth="1" outlineLevel="1"/>
    <col min="21" max="21" width="14.83203125" style="1" hidden="1" customWidth="1" outlineLevel="1"/>
    <col min="22" max="22" width="9.83203125" style="1" hidden="1" customWidth="1" outlineLevel="1"/>
    <col min="23" max="23" width="14.83203125" style="1" hidden="1" customWidth="1" outlineLevel="1"/>
    <col min="24" max="24" width="9.83203125" style="1" hidden="1" customWidth="1" outlineLevel="1"/>
    <col min="25" max="25" width="14.83203125" style="1" hidden="1" customWidth="1" outlineLevel="1"/>
    <col min="26" max="26" width="9.33203125" style="1" collapsed="1"/>
    <col min="27" max="27" width="14.83203125" style="1" hidden="1" customWidth="1" outlineLevel="1"/>
    <col min="28" max="28" width="15.83203125" style="1" customWidth="1" collapsed="1"/>
    <col min="29" max="29" width="10" style="1" customWidth="1"/>
    <col min="30" max="30" width="9.33203125" style="1"/>
    <col min="31" max="31" width="0" style="1" hidden="1" customWidth="1" outlineLevel="1"/>
    <col min="32" max="32" width="14.33203125" style="1" hidden="1" customWidth="1" outlineLevel="1"/>
    <col min="33" max="38" width="0" style="1" hidden="1" customWidth="1" outlineLevel="1"/>
    <col min="39" max="39" width="9.33203125" style="1" collapsed="1"/>
    <col min="40" max="40" width="18.83203125" style="1" hidden="1" customWidth="1" outlineLevel="1"/>
    <col min="41" max="41" width="15.83203125" style="1" customWidth="1" collapsed="1"/>
    <col min="42" max="42" width="10" style="1" customWidth="1"/>
    <col min="43" max="43" width="9.33203125" style="1"/>
    <col min="44" max="44" width="9.33203125" style="1" hidden="1" customWidth="1" outlineLevel="1"/>
    <col min="45" max="45" width="14" style="1" hidden="1" customWidth="1" outlineLevel="1"/>
    <col min="46" max="46" width="9.33203125" style="1" hidden="1" customWidth="1" outlineLevel="1"/>
    <col min="47" max="47" width="13.33203125" style="1" hidden="1" customWidth="1" outlineLevel="1"/>
    <col min="48" max="48" width="9.33203125" style="1" hidden="1" customWidth="1" outlineLevel="1"/>
    <col min="49" max="49" width="14.5" style="1" hidden="1" customWidth="1" outlineLevel="1"/>
    <col min="50" max="50" width="9.33203125" style="1" hidden="1" customWidth="1" outlineLevel="1"/>
    <col min="51" max="51" width="14.1640625" style="1" hidden="1" customWidth="1" outlineLevel="1"/>
    <col min="52" max="52" width="9.33203125" style="1" collapsed="1"/>
    <col min="53" max="53" width="18.83203125" style="1" hidden="1" customWidth="1" outlineLevel="1"/>
    <col min="54" max="54" width="15.83203125" style="1" customWidth="1" collapsed="1"/>
    <col min="55" max="59" width="18.83203125" style="1" hidden="1" customWidth="1" outlineLevel="1"/>
    <col min="60" max="60" width="9.33203125" style="1" hidden="1" customWidth="1" outlineLevel="1"/>
    <col min="61" max="61" width="9.33203125" style="1" collapsed="1"/>
    <col min="62" max="62" width="22.1640625" style="1" customWidth="1"/>
    <col min="63" max="16384" width="9.33203125" style="1"/>
  </cols>
  <sheetData>
    <row r="1" spans="1:54" ht="57" customHeight="1">
      <c r="A1" s="953" t="s">
        <v>69</v>
      </c>
      <c r="B1" s="953"/>
      <c r="O1" s="3"/>
      <c r="P1" s="3"/>
      <c r="Q1" s="3"/>
      <c r="R1" s="3"/>
      <c r="S1" s="3"/>
      <c r="X1" s="3"/>
    </row>
    <row r="2" spans="1:54">
      <c r="O2" s="3"/>
      <c r="P2" s="3"/>
      <c r="Q2" s="3"/>
      <c r="R2" s="3"/>
      <c r="S2" s="3"/>
      <c r="X2" s="3"/>
    </row>
    <row r="3" spans="1:54" ht="48.75" customHeight="1">
      <c r="A3" s="955" t="s">
        <v>129</v>
      </c>
      <c r="B3" s="955"/>
      <c r="C3" s="955"/>
      <c r="D3" s="955"/>
      <c r="E3" s="95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54" ht="12.75" customHeight="1">
      <c r="A4" s="324"/>
      <c r="B4" s="325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54" ht="12.75" customHeight="1">
      <c r="A5" s="324"/>
      <c r="B5" s="32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54" ht="12.75" customHeight="1">
      <c r="A6" s="324"/>
      <c r="B6" s="32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54" ht="12.75" customHeight="1">
      <c r="A7" s="324"/>
      <c r="B7" s="32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54">
      <c r="O8" s="3"/>
      <c r="P8" s="3"/>
      <c r="Q8" s="3"/>
      <c r="R8" s="3"/>
      <c r="S8" s="3"/>
      <c r="X8" s="3"/>
    </row>
    <row r="9" spans="1:54">
      <c r="A9" s="954" t="s">
        <v>189</v>
      </c>
      <c r="B9" s="897"/>
      <c r="C9" s="897"/>
      <c r="D9" s="897"/>
      <c r="E9" s="897"/>
      <c r="F9" s="897"/>
      <c r="G9" s="897"/>
      <c r="H9" s="897"/>
      <c r="I9" s="897"/>
      <c r="J9" s="897"/>
      <c r="K9" s="897"/>
      <c r="L9" s="897"/>
      <c r="M9" s="897"/>
      <c r="N9" s="897"/>
      <c r="O9" s="897"/>
      <c r="P9" s="897"/>
      <c r="Q9" s="897"/>
      <c r="R9" s="897"/>
      <c r="S9" s="897"/>
      <c r="T9" s="897"/>
      <c r="U9" s="897"/>
      <c r="V9" s="897"/>
      <c r="W9" s="897"/>
      <c r="X9" s="897"/>
      <c r="Y9" s="897"/>
      <c r="Z9" s="897"/>
      <c r="AA9" s="897"/>
      <c r="AB9" s="897"/>
      <c r="AC9" s="897"/>
      <c r="AD9" s="897"/>
      <c r="AE9" s="897"/>
      <c r="AF9" s="897"/>
      <c r="AG9" s="897"/>
      <c r="AH9" s="897"/>
      <c r="AI9" s="897"/>
      <c r="AJ9" s="897"/>
      <c r="AK9" s="897"/>
      <c r="AL9" s="897"/>
      <c r="AM9" s="897"/>
      <c r="AN9" s="897"/>
      <c r="AO9" s="897"/>
      <c r="AP9" s="897"/>
      <c r="AQ9" s="897"/>
      <c r="AR9" s="897"/>
      <c r="AS9" s="897"/>
      <c r="AT9" s="897"/>
      <c r="AU9" s="897"/>
      <c r="AV9" s="897"/>
      <c r="AW9" s="897"/>
      <c r="AX9" s="897"/>
      <c r="AY9" s="897"/>
      <c r="AZ9" s="897"/>
      <c r="BA9" s="897"/>
      <c r="BB9" s="897"/>
    </row>
    <row r="10" spans="1:54">
      <c r="A10" s="897"/>
      <c r="B10" s="897"/>
      <c r="C10" s="897"/>
      <c r="D10" s="897"/>
      <c r="E10" s="897"/>
      <c r="F10" s="897"/>
      <c r="G10" s="897"/>
      <c r="H10" s="897"/>
      <c r="I10" s="897"/>
      <c r="J10" s="897"/>
      <c r="K10" s="897"/>
      <c r="L10" s="897"/>
      <c r="M10" s="897"/>
      <c r="N10" s="897"/>
      <c r="O10" s="897"/>
      <c r="P10" s="897"/>
      <c r="Q10" s="897"/>
      <c r="R10" s="897"/>
      <c r="S10" s="897"/>
      <c r="T10" s="897"/>
      <c r="U10" s="897"/>
      <c r="V10" s="897"/>
      <c r="W10" s="897"/>
      <c r="X10" s="897"/>
      <c r="Y10" s="897"/>
      <c r="Z10" s="897"/>
      <c r="AA10" s="897"/>
      <c r="AB10" s="897"/>
      <c r="AC10" s="897"/>
      <c r="AD10" s="897"/>
      <c r="AE10" s="897"/>
      <c r="AF10" s="897"/>
      <c r="AG10" s="897"/>
      <c r="AH10" s="897"/>
      <c r="AI10" s="897"/>
      <c r="AJ10" s="897"/>
      <c r="AK10" s="897"/>
      <c r="AL10" s="897"/>
      <c r="AM10" s="897"/>
      <c r="AN10" s="897"/>
      <c r="AO10" s="897"/>
      <c r="AP10" s="897"/>
      <c r="AQ10" s="897"/>
      <c r="AR10" s="897"/>
      <c r="AS10" s="897"/>
      <c r="AT10" s="897"/>
      <c r="AU10" s="897"/>
      <c r="AV10" s="897"/>
      <c r="AW10" s="897"/>
      <c r="AX10" s="897"/>
      <c r="AY10" s="897"/>
      <c r="AZ10" s="897"/>
      <c r="BA10" s="897"/>
      <c r="BB10" s="897"/>
    </row>
    <row r="11" spans="1:54" ht="15.75" customHeight="1">
      <c r="A11" s="897"/>
      <c r="B11" s="897"/>
      <c r="C11" s="897"/>
      <c r="D11" s="897"/>
      <c r="E11" s="897"/>
      <c r="F11" s="897"/>
      <c r="G11" s="897"/>
      <c r="H11" s="897"/>
      <c r="I11" s="897"/>
      <c r="J11" s="897"/>
      <c r="K11" s="897"/>
      <c r="L11" s="897"/>
      <c r="M11" s="897"/>
      <c r="N11" s="897"/>
      <c r="O11" s="897"/>
      <c r="P11" s="897"/>
      <c r="Q11" s="897"/>
      <c r="R11" s="897"/>
      <c r="S11" s="897"/>
      <c r="T11" s="897"/>
      <c r="U11" s="897"/>
      <c r="V11" s="897"/>
      <c r="W11" s="897"/>
      <c r="X11" s="897"/>
      <c r="Y11" s="897"/>
      <c r="Z11" s="897"/>
      <c r="AA11" s="897"/>
      <c r="AB11" s="897"/>
      <c r="AC11" s="897"/>
      <c r="AD11" s="897"/>
      <c r="AE11" s="897"/>
      <c r="AF11" s="897"/>
      <c r="AG11" s="897"/>
      <c r="AH11" s="897"/>
      <c r="AI11" s="897"/>
      <c r="AJ11" s="897"/>
      <c r="AK11" s="897"/>
      <c r="AL11" s="897"/>
      <c r="AM11" s="897"/>
      <c r="AN11" s="897"/>
      <c r="AO11" s="897"/>
      <c r="AP11" s="897"/>
      <c r="AQ11" s="897"/>
      <c r="AR11" s="897"/>
      <c r="AS11" s="897"/>
      <c r="AT11" s="897"/>
      <c r="AU11" s="897"/>
      <c r="AV11" s="897"/>
      <c r="AW11" s="897"/>
      <c r="AX11" s="897"/>
      <c r="AY11" s="897"/>
      <c r="AZ11" s="897"/>
      <c r="BA11" s="897"/>
      <c r="BB11" s="897"/>
    </row>
    <row r="12" spans="1:54" ht="12.75" customHeight="1">
      <c r="A12" s="897"/>
      <c r="B12" s="897"/>
      <c r="C12" s="897"/>
      <c r="D12" s="897"/>
      <c r="E12" s="897"/>
      <c r="F12" s="897"/>
      <c r="G12" s="897"/>
      <c r="H12" s="897"/>
      <c r="I12" s="897"/>
      <c r="J12" s="897"/>
      <c r="K12" s="897"/>
      <c r="L12" s="897"/>
      <c r="M12" s="897"/>
      <c r="N12" s="897"/>
      <c r="O12" s="897"/>
      <c r="P12" s="897"/>
      <c r="Q12" s="897"/>
      <c r="R12" s="897"/>
      <c r="S12" s="897"/>
      <c r="T12" s="897"/>
      <c r="U12" s="897"/>
      <c r="V12" s="897"/>
      <c r="W12" s="897"/>
      <c r="X12" s="897"/>
      <c r="Y12" s="897"/>
      <c r="Z12" s="897"/>
      <c r="AA12" s="897"/>
      <c r="AB12" s="897"/>
      <c r="AC12" s="897"/>
      <c r="AD12" s="897"/>
      <c r="AE12" s="897"/>
      <c r="AF12" s="897"/>
      <c r="AG12" s="897"/>
      <c r="AH12" s="897"/>
      <c r="AI12" s="897"/>
      <c r="AJ12" s="897"/>
      <c r="AK12" s="897"/>
      <c r="AL12" s="897"/>
      <c r="AM12" s="897"/>
      <c r="AN12" s="897"/>
      <c r="AO12" s="897"/>
      <c r="AP12" s="897"/>
      <c r="AQ12" s="897"/>
      <c r="AR12" s="897"/>
      <c r="AS12" s="897"/>
      <c r="AT12" s="897"/>
      <c r="AU12" s="897"/>
      <c r="AV12" s="897"/>
      <c r="AW12" s="897"/>
      <c r="AX12" s="897"/>
      <c r="AY12" s="897"/>
      <c r="AZ12" s="897"/>
      <c r="BA12" s="897"/>
      <c r="BB12" s="897"/>
    </row>
    <row r="13" spans="1:54" ht="12.75" customHeight="1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54" ht="12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54" ht="12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54" ht="15.75">
      <c r="B16" s="326"/>
      <c r="E16" s="1" t="s">
        <v>190</v>
      </c>
      <c r="F16" s="1">
        <v>7.3294499999999996</v>
      </c>
      <c r="O16" s="3"/>
      <c r="P16" s="3"/>
      <c r="Q16" s="3"/>
      <c r="R16" s="3"/>
      <c r="S16" s="3"/>
      <c r="V16" s="327"/>
      <c r="W16" s="327"/>
      <c r="X16" s="328"/>
    </row>
    <row r="17" spans="1:60" s="12" customFormat="1" ht="30.75" customHeight="1">
      <c r="A17" s="959" t="s">
        <v>16</v>
      </c>
      <c r="B17" s="882" t="s">
        <v>123</v>
      </c>
      <c r="C17" s="905" t="s">
        <v>18</v>
      </c>
      <c r="D17" s="886" t="s">
        <v>19</v>
      </c>
      <c r="E17" s="934" t="s">
        <v>124</v>
      </c>
      <c r="F17" s="949" t="s">
        <v>1</v>
      </c>
      <c r="G17" s="950"/>
      <c r="H17" s="950"/>
      <c r="I17" s="950"/>
      <c r="J17" s="950"/>
      <c r="K17" s="950"/>
      <c r="L17" s="950"/>
      <c r="M17" s="950"/>
      <c r="N17" s="950"/>
      <c r="O17" s="950"/>
      <c r="P17" s="950"/>
      <c r="Q17" s="950"/>
      <c r="R17" s="950"/>
      <c r="S17" s="950"/>
      <c r="T17" s="950"/>
      <c r="U17" s="950"/>
      <c r="V17" s="950"/>
      <c r="W17" s="950"/>
      <c r="X17" s="950"/>
      <c r="Y17" s="950"/>
      <c r="Z17" s="950"/>
      <c r="AA17" s="950"/>
      <c r="AB17" s="950"/>
      <c r="AC17" s="950"/>
      <c r="AD17" s="950"/>
      <c r="AE17" s="950"/>
      <c r="AF17" s="950"/>
      <c r="AG17" s="950"/>
      <c r="AH17" s="950"/>
      <c r="AI17" s="950"/>
      <c r="AJ17" s="950"/>
      <c r="AK17" s="950"/>
      <c r="AL17" s="950"/>
      <c r="AM17" s="950"/>
      <c r="AN17" s="950"/>
      <c r="AO17" s="950"/>
      <c r="AP17" s="950"/>
      <c r="AQ17" s="950"/>
      <c r="AR17" s="950"/>
      <c r="AS17" s="950"/>
      <c r="AT17" s="950"/>
      <c r="AU17" s="950"/>
      <c r="AV17" s="950"/>
      <c r="AW17" s="950"/>
      <c r="AX17" s="950"/>
      <c r="AY17" s="950"/>
      <c r="AZ17" s="950"/>
      <c r="BA17" s="950"/>
      <c r="BB17" s="951"/>
      <c r="BC17" s="937" t="s">
        <v>187</v>
      </c>
      <c r="BD17" s="938"/>
      <c r="BE17" s="938"/>
      <c r="BF17" s="938"/>
      <c r="BG17" s="938"/>
    </row>
    <row r="18" spans="1:60" s="13" customFormat="1" ht="27" customHeight="1">
      <c r="A18" s="960"/>
      <c r="B18" s="883"/>
      <c r="C18" s="962"/>
      <c r="D18" s="887"/>
      <c r="E18" s="935"/>
      <c r="F18" s="957" t="s">
        <v>128</v>
      </c>
      <c r="G18" s="939" t="s">
        <v>183</v>
      </c>
      <c r="H18" s="939"/>
      <c r="I18" s="939"/>
      <c r="J18" s="939"/>
      <c r="K18" s="939"/>
      <c r="L18" s="939"/>
      <c r="M18" s="939"/>
      <c r="N18" s="939"/>
      <c r="O18" s="940"/>
      <c r="P18" s="941" t="s">
        <v>48</v>
      </c>
      <c r="Q18" s="942"/>
      <c r="R18" s="942"/>
      <c r="S18" s="942"/>
      <c r="T18" s="942"/>
      <c r="U18" s="942"/>
      <c r="V18" s="942"/>
      <c r="W18" s="942"/>
      <c r="X18" s="942"/>
      <c r="Y18" s="942"/>
      <c r="Z18" s="942"/>
      <c r="AA18" s="942"/>
      <c r="AB18" s="943"/>
      <c r="AC18" s="944" t="s">
        <v>49</v>
      </c>
      <c r="AD18" s="945"/>
      <c r="AE18" s="945"/>
      <c r="AF18" s="945"/>
      <c r="AG18" s="945"/>
      <c r="AH18" s="945"/>
      <c r="AI18" s="945"/>
      <c r="AJ18" s="945"/>
      <c r="AK18" s="945"/>
      <c r="AL18" s="945"/>
      <c r="AM18" s="945"/>
      <c r="AN18" s="945"/>
      <c r="AO18" s="946"/>
      <c r="AP18" s="947" t="s">
        <v>170</v>
      </c>
      <c r="AQ18" s="947"/>
      <c r="AR18" s="947"/>
      <c r="AS18" s="947"/>
      <c r="AT18" s="947"/>
      <c r="AU18" s="947"/>
      <c r="AV18" s="947"/>
      <c r="AW18" s="947"/>
      <c r="AX18" s="947"/>
      <c r="AY18" s="947"/>
      <c r="AZ18" s="947"/>
      <c r="BA18" s="947"/>
      <c r="BB18" s="948"/>
      <c r="BC18" s="937"/>
      <c r="BD18" s="937"/>
      <c r="BE18" s="937"/>
      <c r="BF18" s="938"/>
      <c r="BG18" s="938"/>
      <c r="BH18" s="329"/>
    </row>
    <row r="19" spans="1:60" s="11" customFormat="1" ht="49.5" customHeight="1">
      <c r="A19" s="961"/>
      <c r="B19" s="884"/>
      <c r="C19" s="963"/>
      <c r="D19" s="888"/>
      <c r="E19" s="936"/>
      <c r="F19" s="958"/>
      <c r="G19" s="332" t="s">
        <v>29</v>
      </c>
      <c r="H19" s="333" t="s">
        <v>30</v>
      </c>
      <c r="I19" s="332" t="s">
        <v>74</v>
      </c>
      <c r="J19" s="333" t="s">
        <v>75</v>
      </c>
      <c r="K19" s="333" t="s">
        <v>76</v>
      </c>
      <c r="L19" s="333" t="s">
        <v>77</v>
      </c>
      <c r="M19" s="333" t="s">
        <v>127</v>
      </c>
      <c r="N19" s="333" t="s">
        <v>185</v>
      </c>
      <c r="O19" s="334" t="s">
        <v>126</v>
      </c>
      <c r="P19" s="255" t="s">
        <v>29</v>
      </c>
      <c r="Q19" s="37" t="s">
        <v>30</v>
      </c>
      <c r="R19" s="482" t="s">
        <v>80</v>
      </c>
      <c r="S19" s="37" t="s">
        <v>81</v>
      </c>
      <c r="T19" s="37" t="s">
        <v>82</v>
      </c>
      <c r="U19" s="37" t="s">
        <v>83</v>
      </c>
      <c r="V19" s="37" t="s">
        <v>84</v>
      </c>
      <c r="W19" s="37" t="s">
        <v>85</v>
      </c>
      <c r="X19" s="37" t="s">
        <v>76</v>
      </c>
      <c r="Y19" s="37" t="s">
        <v>77</v>
      </c>
      <c r="Z19" s="37" t="s">
        <v>89</v>
      </c>
      <c r="AA19" s="37" t="s">
        <v>87</v>
      </c>
      <c r="AB19" s="38" t="s">
        <v>33</v>
      </c>
      <c r="AC19" s="490" t="s">
        <v>29</v>
      </c>
      <c r="AD19" s="216" t="s">
        <v>30</v>
      </c>
      <c r="AE19" s="273" t="s">
        <v>80</v>
      </c>
      <c r="AF19" s="216" t="s">
        <v>81</v>
      </c>
      <c r="AG19" s="216" t="s">
        <v>82</v>
      </c>
      <c r="AH19" s="216" t="s">
        <v>83</v>
      </c>
      <c r="AI19" s="216" t="s">
        <v>84</v>
      </c>
      <c r="AJ19" s="216" t="s">
        <v>85</v>
      </c>
      <c r="AK19" s="216" t="s">
        <v>76</v>
      </c>
      <c r="AL19" s="216" t="s">
        <v>77</v>
      </c>
      <c r="AM19" s="216" t="s">
        <v>127</v>
      </c>
      <c r="AN19" s="216" t="s">
        <v>88</v>
      </c>
      <c r="AO19" s="217" t="s">
        <v>33</v>
      </c>
      <c r="AP19" s="521" t="s">
        <v>29</v>
      </c>
      <c r="AQ19" s="54" t="s">
        <v>30</v>
      </c>
      <c r="AR19" s="79" t="s">
        <v>80</v>
      </c>
      <c r="AS19" s="54" t="s">
        <v>81</v>
      </c>
      <c r="AT19" s="54" t="s">
        <v>82</v>
      </c>
      <c r="AU19" s="54" t="s">
        <v>83</v>
      </c>
      <c r="AV19" s="54" t="s">
        <v>84</v>
      </c>
      <c r="AW19" s="54" t="s">
        <v>85</v>
      </c>
      <c r="AX19" s="54" t="s">
        <v>76</v>
      </c>
      <c r="AY19" s="54" t="s">
        <v>77</v>
      </c>
      <c r="AZ19" s="54" t="s">
        <v>89</v>
      </c>
      <c r="BA19" s="54" t="s">
        <v>186</v>
      </c>
      <c r="BB19" s="55" t="s">
        <v>33</v>
      </c>
      <c r="BC19" s="473" t="s">
        <v>72</v>
      </c>
      <c r="BD19" s="474" t="s">
        <v>73</v>
      </c>
      <c r="BE19" s="474" t="s">
        <v>89</v>
      </c>
      <c r="BF19" s="474" t="s">
        <v>90</v>
      </c>
      <c r="BG19" s="475" t="s">
        <v>91</v>
      </c>
    </row>
    <row r="20" spans="1:60" s="520" customFormat="1" ht="9.75" customHeight="1">
      <c r="A20" s="43">
        <v>1</v>
      </c>
      <c r="B20" s="42">
        <v>2</v>
      </c>
      <c r="C20" s="45">
        <v>3</v>
      </c>
      <c r="D20" s="4">
        <v>4</v>
      </c>
      <c r="E20" s="7">
        <v>5</v>
      </c>
      <c r="F20" s="512">
        <v>6</v>
      </c>
      <c r="G20" s="45"/>
      <c r="H20" s="4"/>
      <c r="I20" s="4"/>
      <c r="J20" s="4"/>
      <c r="K20" s="4"/>
      <c r="L20" s="45"/>
      <c r="M20" s="4"/>
      <c r="N20" s="4"/>
      <c r="O20" s="7"/>
      <c r="P20" s="81">
        <v>7</v>
      </c>
      <c r="Q20" s="4">
        <v>8</v>
      </c>
      <c r="R20" s="45"/>
      <c r="S20" s="4"/>
      <c r="T20" s="4"/>
      <c r="U20" s="4"/>
      <c r="V20" s="45"/>
      <c r="W20" s="45"/>
      <c r="X20" s="45"/>
      <c r="Y20" s="275"/>
      <c r="Z20" s="513">
        <v>9</v>
      </c>
      <c r="AA20" s="46"/>
      <c r="AB20" s="514">
        <v>10</v>
      </c>
      <c r="AC20" s="515">
        <v>11</v>
      </c>
      <c r="AD20" s="46">
        <v>12</v>
      </c>
      <c r="AE20" s="45"/>
      <c r="AF20" s="4"/>
      <c r="AG20" s="4"/>
      <c r="AH20" s="275"/>
      <c r="AI20" s="6"/>
      <c r="AJ20" s="6"/>
      <c r="AK20" s="6"/>
      <c r="AL20" s="4"/>
      <c r="AM20" s="516">
        <v>13</v>
      </c>
      <c r="AN20" s="517"/>
      <c r="AO20" s="514">
        <v>14</v>
      </c>
      <c r="AP20" s="513">
        <v>15</v>
      </c>
      <c r="AQ20" s="513">
        <v>16</v>
      </c>
      <c r="AR20" s="275"/>
      <c r="AS20" s="6"/>
      <c r="AT20" s="6"/>
      <c r="AU20" s="6"/>
      <c r="AV20" s="6"/>
      <c r="AW20" s="6"/>
      <c r="AX20" s="6"/>
      <c r="AY20" s="4"/>
      <c r="AZ20" s="46">
        <v>17</v>
      </c>
      <c r="BA20" s="516"/>
      <c r="BB20" s="514">
        <v>18</v>
      </c>
      <c r="BC20" s="518"/>
      <c r="BD20" s="512"/>
      <c r="BE20" s="519"/>
      <c r="BF20" s="519"/>
      <c r="BG20" s="519"/>
    </row>
    <row r="21" spans="1:60" s="338" customFormat="1" ht="15.75" customHeight="1">
      <c r="A21" s="337">
        <v>1</v>
      </c>
      <c r="B21" s="338" t="s">
        <v>92</v>
      </c>
      <c r="C21" s="461">
        <v>80</v>
      </c>
      <c r="D21" s="461">
        <v>36</v>
      </c>
      <c r="E21" s="476">
        <v>6431.36</v>
      </c>
      <c r="F21" s="505">
        <v>198.1</v>
      </c>
      <c r="G21" s="419">
        <v>80</v>
      </c>
      <c r="H21" s="339">
        <v>36</v>
      </c>
      <c r="I21" s="340">
        <v>0</v>
      </c>
      <c r="J21" s="340">
        <f>I21*E21</f>
        <v>0</v>
      </c>
      <c r="K21" s="340">
        <v>0</v>
      </c>
      <c r="L21" s="341">
        <f>E21*K21</f>
        <v>0</v>
      </c>
      <c r="M21" s="341">
        <f>SUM(I21+K21)</f>
        <v>0</v>
      </c>
      <c r="N21" s="341">
        <f>SUM(J21+L21)</f>
        <v>0</v>
      </c>
      <c r="O21" s="342">
        <f>N21*B$31</f>
        <v>0</v>
      </c>
      <c r="P21" s="483">
        <v>0</v>
      </c>
      <c r="Q21" s="484">
        <v>0</v>
      </c>
      <c r="R21" s="485">
        <v>0</v>
      </c>
      <c r="S21" s="486">
        <f>E21*R21</f>
        <v>0</v>
      </c>
      <c r="T21" s="486">
        <v>0</v>
      </c>
      <c r="U21" s="486">
        <f>E21*T21</f>
        <v>0</v>
      </c>
      <c r="V21" s="485">
        <v>0</v>
      </c>
      <c r="W21" s="485">
        <f>E21*V21</f>
        <v>0</v>
      </c>
      <c r="X21" s="485">
        <v>0</v>
      </c>
      <c r="Y21" s="486">
        <f>E21*X21</f>
        <v>0</v>
      </c>
      <c r="Z21" s="486">
        <f>SUM(R21,T21,V21,X21)</f>
        <v>0</v>
      </c>
      <c r="AA21" s="486">
        <f>Z21*E21</f>
        <v>0</v>
      </c>
      <c r="AB21" s="487">
        <f>AA21*B$31</f>
        <v>0</v>
      </c>
      <c r="AC21" s="491">
        <v>0</v>
      </c>
      <c r="AD21" s="492">
        <v>0</v>
      </c>
      <c r="AE21" s="493">
        <v>0</v>
      </c>
      <c r="AF21" s="494">
        <f>E21*AE21</f>
        <v>0</v>
      </c>
      <c r="AG21" s="494">
        <v>0</v>
      </c>
      <c r="AH21" s="494">
        <f>E21*AG21</f>
        <v>0</v>
      </c>
      <c r="AI21" s="494">
        <v>0</v>
      </c>
      <c r="AJ21" s="494">
        <f>E21*AI21</f>
        <v>0</v>
      </c>
      <c r="AK21" s="494">
        <v>0</v>
      </c>
      <c r="AL21" s="494">
        <f>G21*AK21</f>
        <v>0</v>
      </c>
      <c r="AM21" s="494">
        <f>SUM(AE21,AG21,AI21,AK21)</f>
        <v>0</v>
      </c>
      <c r="AN21" s="494">
        <f>E21*AM21</f>
        <v>0</v>
      </c>
      <c r="AO21" s="498">
        <f>AN21*B$31</f>
        <v>0</v>
      </c>
      <c r="AP21" s="499">
        <v>0</v>
      </c>
      <c r="AQ21" s="499">
        <v>0</v>
      </c>
      <c r="AR21" s="500">
        <v>0</v>
      </c>
      <c r="AS21" s="501">
        <f>E21* AR21</f>
        <v>0</v>
      </c>
      <c r="AT21" s="501">
        <v>0</v>
      </c>
      <c r="AU21" s="501">
        <f>E21*AT21</f>
        <v>0</v>
      </c>
      <c r="AV21" s="501">
        <v>0</v>
      </c>
      <c r="AW21" s="501">
        <f>E21*AV21</f>
        <v>0</v>
      </c>
      <c r="AX21" s="501">
        <v>0</v>
      </c>
      <c r="AY21" s="501">
        <f>E21*AX21</f>
        <v>0</v>
      </c>
      <c r="AZ21" s="501">
        <f t="shared" ref="AZ21:BA25" si="0">SUM(AR21+AT21+AV21+AX21)</f>
        <v>0</v>
      </c>
      <c r="BA21" s="501">
        <f t="shared" si="0"/>
        <v>0</v>
      </c>
      <c r="BB21" s="510">
        <f>BA21*B$31</f>
        <v>0</v>
      </c>
      <c r="BC21" s="347">
        <f t="shared" ref="BC21:BD25" si="1">P21+AC21+AP21</f>
        <v>0</v>
      </c>
      <c r="BD21" s="348">
        <f t="shared" si="1"/>
        <v>0</v>
      </c>
      <c r="BE21" s="349">
        <f>SUM(Z21+AM21+AZ21)</f>
        <v>0</v>
      </c>
      <c r="BF21" s="349">
        <f>SUM((AA21,AN21,BA21))</f>
        <v>0</v>
      </c>
      <c r="BG21" s="349">
        <f>SUM(AB21,AO21,BB21)</f>
        <v>0</v>
      </c>
    </row>
    <row r="22" spans="1:60" ht="15" customHeight="1">
      <c r="A22" s="350">
        <v>2</v>
      </c>
      <c r="B22" s="351" t="s">
        <v>93</v>
      </c>
      <c r="C22" s="352">
        <v>80</v>
      </c>
      <c r="D22" s="352">
        <v>0</v>
      </c>
      <c r="E22" s="353">
        <v>4930.0600000000004</v>
      </c>
      <c r="F22" s="506">
        <v>277.33999999999997</v>
      </c>
      <c r="G22" s="478">
        <v>80</v>
      </c>
      <c r="H22" s="355">
        <v>0</v>
      </c>
      <c r="I22" s="340">
        <v>54.200630418290999</v>
      </c>
      <c r="J22" s="340">
        <f>I22*E22</f>
        <v>267212.35999999975</v>
      </c>
      <c r="K22" s="340">
        <v>162.719714381709</v>
      </c>
      <c r="L22" s="341">
        <f>E22*K22</f>
        <v>802217.95508468826</v>
      </c>
      <c r="M22" s="341">
        <f>SUM(I22+K22)</f>
        <v>216.92034480000001</v>
      </c>
      <c r="N22" s="341">
        <f>SUM(J22+L22)</f>
        <v>1069430.3150846879</v>
      </c>
      <c r="O22" s="342">
        <f>N22*B$31</f>
        <v>7838336.0228974652</v>
      </c>
      <c r="P22" s="488">
        <v>80</v>
      </c>
      <c r="Q22" s="489">
        <v>0</v>
      </c>
      <c r="R22" s="485">
        <v>60.419655200000001</v>
      </c>
      <c r="S22" s="486">
        <f>E22*R22</f>
        <v>297872.52531531203</v>
      </c>
      <c r="T22" s="486">
        <v>0</v>
      </c>
      <c r="U22" s="486">
        <f>E22*T22</f>
        <v>0</v>
      </c>
      <c r="V22" s="485">
        <v>0</v>
      </c>
      <c r="W22" s="485">
        <f>E22*V22</f>
        <v>0</v>
      </c>
      <c r="X22" s="486">
        <v>0</v>
      </c>
      <c r="Y22" s="486">
        <f>E22*X22</f>
        <v>0</v>
      </c>
      <c r="Z22" s="486">
        <f>SUM(R22,T22,V22,X22)</f>
        <v>60.419655200000001</v>
      </c>
      <c r="AA22" s="486">
        <f>Z22*E22</f>
        <v>297872.52531531203</v>
      </c>
      <c r="AB22" s="487">
        <f>AA22*B$31</f>
        <v>2183241.7806723136</v>
      </c>
      <c r="AC22" s="491">
        <v>0</v>
      </c>
      <c r="AD22" s="492">
        <v>0</v>
      </c>
      <c r="AE22" s="493">
        <v>0</v>
      </c>
      <c r="AF22" s="494">
        <f>E22*AE22</f>
        <v>0</v>
      </c>
      <c r="AG22" s="494">
        <v>0</v>
      </c>
      <c r="AH22" s="494">
        <f>E22*AG22</f>
        <v>0</v>
      </c>
      <c r="AI22" s="494">
        <v>0</v>
      </c>
      <c r="AJ22" s="494">
        <f>E22*AI22</f>
        <v>0</v>
      </c>
      <c r="AK22" s="494">
        <v>0</v>
      </c>
      <c r="AL22" s="494">
        <f>G22*AK22</f>
        <v>0</v>
      </c>
      <c r="AM22" s="494">
        <f>SUM(AE22,AG22,AI22,AK22)</f>
        <v>0</v>
      </c>
      <c r="AN22" s="494">
        <f>E22*AM22</f>
        <v>0</v>
      </c>
      <c r="AO22" s="498">
        <f>AN22*B$31</f>
        <v>0</v>
      </c>
      <c r="AP22" s="499">
        <v>0</v>
      </c>
      <c r="AQ22" s="499">
        <v>0</v>
      </c>
      <c r="AR22" s="500">
        <v>0</v>
      </c>
      <c r="AS22" s="501">
        <f>E22* AR22</f>
        <v>0</v>
      </c>
      <c r="AT22" s="501">
        <v>0</v>
      </c>
      <c r="AU22" s="501">
        <f>E22*AT22</f>
        <v>0</v>
      </c>
      <c r="AV22" s="501">
        <v>0</v>
      </c>
      <c r="AW22" s="501">
        <f>E22*AV22</f>
        <v>0</v>
      </c>
      <c r="AX22" s="501">
        <v>0</v>
      </c>
      <c r="AY22" s="501">
        <f>E22*AX22</f>
        <v>0</v>
      </c>
      <c r="AZ22" s="501">
        <f t="shared" si="0"/>
        <v>0</v>
      </c>
      <c r="BA22" s="501">
        <f t="shared" si="0"/>
        <v>0</v>
      </c>
      <c r="BB22" s="511">
        <f>BA22*B$31</f>
        <v>0</v>
      </c>
      <c r="BC22" s="356">
        <f t="shared" si="1"/>
        <v>80</v>
      </c>
      <c r="BD22" s="348">
        <f t="shared" si="1"/>
        <v>0</v>
      </c>
      <c r="BE22" s="349">
        <f>SUM(Z22+AM22+AZ22)</f>
        <v>60.419655200000001</v>
      </c>
      <c r="BF22" s="349">
        <f>SUM((AA22,AN22,BA22))</f>
        <v>297872.52531531203</v>
      </c>
      <c r="BG22" s="349">
        <f>SUM(AB22,AO22,BB22)</f>
        <v>2183241.7806723136</v>
      </c>
    </row>
    <row r="23" spans="1:60" ht="15" customHeight="1">
      <c r="A23" s="350">
        <v>3</v>
      </c>
      <c r="B23" s="357" t="s">
        <v>94</v>
      </c>
      <c r="C23" s="358">
        <v>150</v>
      </c>
      <c r="D23" s="358">
        <v>0</v>
      </c>
      <c r="E23" s="477">
        <v>9300</v>
      </c>
      <c r="F23" s="507">
        <v>198.1</v>
      </c>
      <c r="G23" s="478">
        <v>0</v>
      </c>
      <c r="H23" s="355">
        <v>0</v>
      </c>
      <c r="I23" s="340">
        <v>0</v>
      </c>
      <c r="J23" s="340">
        <f>I23*E23</f>
        <v>0</v>
      </c>
      <c r="K23" s="340">
        <v>35</v>
      </c>
      <c r="L23" s="341">
        <f>E23*K23</f>
        <v>325500</v>
      </c>
      <c r="M23" s="341">
        <v>0</v>
      </c>
      <c r="N23" s="341">
        <f>SUM(J23+L23)</f>
        <v>325500</v>
      </c>
      <c r="O23" s="342">
        <f>N23*B$31</f>
        <v>2385735.9750000001</v>
      </c>
      <c r="P23" s="488">
        <v>100</v>
      </c>
      <c r="Q23" s="489">
        <v>0</v>
      </c>
      <c r="R23" s="485">
        <v>0</v>
      </c>
      <c r="S23" s="486">
        <f>E23*R23</f>
        <v>0</v>
      </c>
      <c r="T23" s="486">
        <v>0</v>
      </c>
      <c r="U23" s="486">
        <f>E23*T23</f>
        <v>0</v>
      </c>
      <c r="V23" s="485">
        <v>65</v>
      </c>
      <c r="W23" s="485">
        <f>E23*V23</f>
        <v>604500</v>
      </c>
      <c r="X23" s="486">
        <v>63.624858099999997</v>
      </c>
      <c r="Y23" s="486">
        <f>E23*X23</f>
        <v>591711.18033</v>
      </c>
      <c r="Z23" s="486">
        <f>SUM(R23,T23,V23,X23)</f>
        <v>128.62485809999998</v>
      </c>
      <c r="AA23" s="486">
        <f>Z23*E23</f>
        <v>1196211.1803299999</v>
      </c>
      <c r="AB23" s="487">
        <f>AA23*B$31</f>
        <v>8767570.0356697179</v>
      </c>
      <c r="AC23" s="491">
        <v>50</v>
      </c>
      <c r="AD23" s="492">
        <v>0</v>
      </c>
      <c r="AE23" s="493">
        <v>34.475141899999997</v>
      </c>
      <c r="AF23" s="494">
        <f>E23*AE23</f>
        <v>320618.81967</v>
      </c>
      <c r="AG23" s="494">
        <v>0</v>
      </c>
      <c r="AH23" s="494">
        <f>E23*AG23</f>
        <v>0</v>
      </c>
      <c r="AI23" s="494">
        <v>0</v>
      </c>
      <c r="AJ23" s="494">
        <f>E23*AI23</f>
        <v>0</v>
      </c>
      <c r="AK23" s="494">
        <v>0</v>
      </c>
      <c r="AL23" s="494">
        <f>G23*AK23</f>
        <v>0</v>
      </c>
      <c r="AM23" s="494">
        <f>SUM(AE23,AG23,AI23,AK23)</f>
        <v>34.475141899999997</v>
      </c>
      <c r="AN23" s="494">
        <f>E23*AM23</f>
        <v>320618.81967</v>
      </c>
      <c r="AO23" s="498">
        <f>AN23*B$31</f>
        <v>2349959.6078302814</v>
      </c>
      <c r="AP23" s="499">
        <v>0</v>
      </c>
      <c r="AQ23" s="499">
        <v>0</v>
      </c>
      <c r="AR23" s="500">
        <v>0</v>
      </c>
      <c r="AS23" s="501">
        <f>E23* AR23</f>
        <v>0</v>
      </c>
      <c r="AT23" s="501">
        <v>0</v>
      </c>
      <c r="AU23" s="501">
        <f>E23*AT23</f>
        <v>0</v>
      </c>
      <c r="AV23" s="501">
        <v>0</v>
      </c>
      <c r="AW23" s="501">
        <f>E23*AV23</f>
        <v>0</v>
      </c>
      <c r="AX23" s="501">
        <v>0</v>
      </c>
      <c r="AY23" s="501">
        <f>E23*AX23</f>
        <v>0</v>
      </c>
      <c r="AZ23" s="501">
        <f t="shared" si="0"/>
        <v>0</v>
      </c>
      <c r="BA23" s="501">
        <f t="shared" si="0"/>
        <v>0</v>
      </c>
      <c r="BB23" s="511">
        <f>BA23*B$31</f>
        <v>0</v>
      </c>
      <c r="BC23" s="356">
        <f>P23+AC23+AP23</f>
        <v>150</v>
      </c>
      <c r="BD23" s="348">
        <f t="shared" si="1"/>
        <v>0</v>
      </c>
      <c r="BE23" s="349">
        <f>SUM(Z23+AM23+AZ23)</f>
        <v>163.09999999999997</v>
      </c>
      <c r="BF23" s="349">
        <f>SUM((AA23,AN23,BA23))</f>
        <v>1516830</v>
      </c>
      <c r="BG23" s="349">
        <f>SUM(AB23,AO23,BB23)</f>
        <v>11117529.6435</v>
      </c>
    </row>
    <row r="24" spans="1:60" ht="15" customHeight="1">
      <c r="A24" s="350">
        <v>4</v>
      </c>
      <c r="B24" s="357" t="s">
        <v>95</v>
      </c>
      <c r="C24" s="358">
        <v>262</v>
      </c>
      <c r="D24" s="358">
        <v>0</v>
      </c>
      <c r="E24" s="477">
        <v>24000</v>
      </c>
      <c r="F24" s="507">
        <v>198.1</v>
      </c>
      <c r="G24" s="478">
        <v>0</v>
      </c>
      <c r="H24" s="355">
        <v>0</v>
      </c>
      <c r="I24" s="340">
        <v>0</v>
      </c>
      <c r="J24" s="340">
        <f>I24*E24</f>
        <v>0</v>
      </c>
      <c r="K24" s="340">
        <v>0</v>
      </c>
      <c r="L24" s="341">
        <f>E24*K24</f>
        <v>0</v>
      </c>
      <c r="M24" s="341">
        <f>SUM(I24+K24)</f>
        <v>0</v>
      </c>
      <c r="N24" s="341">
        <f>SUM(J24+L24)</f>
        <v>0</v>
      </c>
      <c r="O24" s="342">
        <f>N24*B$31</f>
        <v>0</v>
      </c>
      <c r="P24" s="488">
        <v>0</v>
      </c>
      <c r="Q24" s="489">
        <v>0</v>
      </c>
      <c r="R24" s="485">
        <v>0</v>
      </c>
      <c r="S24" s="486">
        <f>E24*R24</f>
        <v>0</v>
      </c>
      <c r="T24" s="486">
        <v>0</v>
      </c>
      <c r="U24" s="486">
        <f>E24*T24</f>
        <v>0</v>
      </c>
      <c r="V24" s="485">
        <v>0</v>
      </c>
      <c r="W24" s="485">
        <f>E24*V24</f>
        <v>0</v>
      </c>
      <c r="X24" s="486"/>
      <c r="Y24" s="486">
        <f>E24*X24</f>
        <v>0</v>
      </c>
      <c r="Z24" s="486">
        <f>SUM(R24,T24,V24,X24)</f>
        <v>0</v>
      </c>
      <c r="AA24" s="486">
        <f>Z24*E24</f>
        <v>0</v>
      </c>
      <c r="AB24" s="487">
        <f>AA24*B$31</f>
        <v>0</v>
      </c>
      <c r="AC24" s="495">
        <v>0</v>
      </c>
      <c r="AD24" s="496">
        <v>0</v>
      </c>
      <c r="AE24" s="493">
        <v>0</v>
      </c>
      <c r="AF24" s="494">
        <f>E24*AE24</f>
        <v>0</v>
      </c>
      <c r="AG24" s="494">
        <v>0</v>
      </c>
      <c r="AH24" s="494">
        <f>E24*AG24</f>
        <v>0</v>
      </c>
      <c r="AI24" s="494">
        <v>0</v>
      </c>
      <c r="AJ24" s="494">
        <f>E24*AI24</f>
        <v>0</v>
      </c>
      <c r="AK24" s="494">
        <v>0</v>
      </c>
      <c r="AL24" s="494">
        <f>G24*AK24</f>
        <v>0</v>
      </c>
      <c r="AM24" s="494">
        <f>SUM(AE24,AG24,AI24,AK24)</f>
        <v>0</v>
      </c>
      <c r="AN24" s="494">
        <f>E24*AM24</f>
        <v>0</v>
      </c>
      <c r="AO24" s="498">
        <f>AN24*B$31</f>
        <v>0</v>
      </c>
      <c r="AP24" s="499">
        <v>0</v>
      </c>
      <c r="AQ24" s="499">
        <v>0</v>
      </c>
      <c r="AR24" s="500">
        <v>35</v>
      </c>
      <c r="AS24" s="501">
        <f>E24* AR24</f>
        <v>840000</v>
      </c>
      <c r="AT24" s="501">
        <v>0</v>
      </c>
      <c r="AU24" s="501">
        <f>E24*AT24</f>
        <v>0</v>
      </c>
      <c r="AV24" s="501">
        <v>0</v>
      </c>
      <c r="AW24" s="501">
        <f>E24*AV24</f>
        <v>0</v>
      </c>
      <c r="AX24" s="501">
        <v>0</v>
      </c>
      <c r="AY24" s="501">
        <f>E24*AX24</f>
        <v>0</v>
      </c>
      <c r="AZ24" s="501">
        <f t="shared" si="0"/>
        <v>35</v>
      </c>
      <c r="BA24" s="501">
        <f t="shared" si="0"/>
        <v>840000</v>
      </c>
      <c r="BB24" s="511">
        <f>BA24*B$31</f>
        <v>6156738</v>
      </c>
      <c r="BC24" s="356">
        <f t="shared" si="1"/>
        <v>0</v>
      </c>
      <c r="BD24" s="348">
        <f t="shared" si="1"/>
        <v>0</v>
      </c>
      <c r="BE24" s="349">
        <f>SUM(Z24+AM24+AZ24)</f>
        <v>35</v>
      </c>
      <c r="BF24" s="349">
        <f>SUM((AA24,AN24,BA24))</f>
        <v>840000</v>
      </c>
      <c r="BG24" s="349">
        <f>SUM(AB24,AO24,BB24)</f>
        <v>6156738</v>
      </c>
    </row>
    <row r="25" spans="1:60" ht="15" customHeight="1">
      <c r="A25" s="350">
        <v>5</v>
      </c>
      <c r="B25" s="357" t="s">
        <v>125</v>
      </c>
      <c r="C25" s="358">
        <v>150</v>
      </c>
      <c r="D25" s="358">
        <v>0</v>
      </c>
      <c r="E25" s="477">
        <v>9300</v>
      </c>
      <c r="F25" s="507">
        <v>198.1</v>
      </c>
      <c r="G25" s="478">
        <v>0</v>
      </c>
      <c r="H25" s="359">
        <v>0</v>
      </c>
      <c r="I25" s="360">
        <v>0</v>
      </c>
      <c r="J25" s="340">
        <f>I25*E25</f>
        <v>0</v>
      </c>
      <c r="K25" s="340">
        <v>0</v>
      </c>
      <c r="L25" s="341">
        <f>E25*K25</f>
        <v>0</v>
      </c>
      <c r="M25" s="341">
        <f>SUM(I25+K25)</f>
        <v>0</v>
      </c>
      <c r="N25" s="341">
        <f>SUM(J25+L25)</f>
        <v>0</v>
      </c>
      <c r="O25" s="342">
        <f>N25*B$31</f>
        <v>0</v>
      </c>
      <c r="P25" s="488">
        <v>0</v>
      </c>
      <c r="Q25" s="489">
        <v>0</v>
      </c>
      <c r="R25" s="485">
        <v>0</v>
      </c>
      <c r="S25" s="486">
        <f>E25*R25</f>
        <v>0</v>
      </c>
      <c r="T25" s="486">
        <v>0</v>
      </c>
      <c r="U25" s="486">
        <f>E25*T25</f>
        <v>0</v>
      </c>
      <c r="V25" s="485">
        <v>0</v>
      </c>
      <c r="W25" s="485">
        <f>E25*V25</f>
        <v>0</v>
      </c>
      <c r="X25" s="486"/>
      <c r="Y25" s="486">
        <f>E25*X25</f>
        <v>0</v>
      </c>
      <c r="Z25" s="486">
        <f>SUM(R25,T25,V25,X25)</f>
        <v>0</v>
      </c>
      <c r="AA25" s="486">
        <f>Z25*E25</f>
        <v>0</v>
      </c>
      <c r="AB25" s="487">
        <f>AA25*B$31</f>
        <v>0</v>
      </c>
      <c r="AC25" s="874">
        <v>0</v>
      </c>
      <c r="AD25" s="494">
        <v>0</v>
      </c>
      <c r="AE25" s="493">
        <v>0</v>
      </c>
      <c r="AF25" s="494">
        <f>E25*AE25</f>
        <v>0</v>
      </c>
      <c r="AG25" s="494">
        <v>0</v>
      </c>
      <c r="AH25" s="494">
        <f>E25*AG25</f>
        <v>0</v>
      </c>
      <c r="AI25" s="494">
        <v>0</v>
      </c>
      <c r="AJ25" s="494">
        <f>E25*AI25</f>
        <v>0</v>
      </c>
      <c r="AK25" s="494">
        <v>0</v>
      </c>
      <c r="AL25" s="494">
        <f>G25*AK25</f>
        <v>0</v>
      </c>
      <c r="AM25" s="494">
        <f>SUM(AE25,AG25,AI25,AK25)</f>
        <v>0</v>
      </c>
      <c r="AN25" s="494">
        <f>E25*AM25</f>
        <v>0</v>
      </c>
      <c r="AO25" s="498">
        <f>AN25*B$31</f>
        <v>0</v>
      </c>
      <c r="AP25" s="499">
        <v>150</v>
      </c>
      <c r="AQ25" s="499">
        <v>0</v>
      </c>
      <c r="AR25" s="500">
        <v>35</v>
      </c>
      <c r="AS25" s="501">
        <f>E25* AR25</f>
        <v>325500</v>
      </c>
      <c r="AT25" s="501">
        <v>0</v>
      </c>
      <c r="AU25" s="501">
        <f>E25*AT25</f>
        <v>0</v>
      </c>
      <c r="AV25" s="501">
        <v>163.1</v>
      </c>
      <c r="AW25" s="501">
        <f>E25*AV25</f>
        <v>1516830</v>
      </c>
      <c r="AX25" s="501">
        <v>0</v>
      </c>
      <c r="AY25" s="501">
        <f>E25*AX25</f>
        <v>0</v>
      </c>
      <c r="AZ25" s="502">
        <f t="shared" si="0"/>
        <v>198.1</v>
      </c>
      <c r="BA25" s="501">
        <f t="shared" si="0"/>
        <v>1842330</v>
      </c>
      <c r="BB25" s="511">
        <f>BA25*B$31</f>
        <v>13503265.6185</v>
      </c>
      <c r="BC25" s="356">
        <f t="shared" si="1"/>
        <v>150</v>
      </c>
      <c r="BD25" s="348">
        <f t="shared" si="1"/>
        <v>0</v>
      </c>
      <c r="BE25" s="349">
        <f>SUM(Z25+AM25+AZ25)</f>
        <v>198.1</v>
      </c>
      <c r="BF25" s="349">
        <f>SUM((AA25,AN25,BA25))</f>
        <v>1842330</v>
      </c>
      <c r="BG25" s="349">
        <f>SUM(AB25,AO25,BB25)</f>
        <v>13503265.6185</v>
      </c>
    </row>
    <row r="26" spans="1:60" s="472" customFormat="1" ht="21.75" customHeight="1">
      <c r="A26" s="479"/>
      <c r="B26" s="480" t="s">
        <v>15</v>
      </c>
      <c r="C26" s="464">
        <f>SUM(C21:C25)</f>
        <v>722</v>
      </c>
      <c r="D26" s="464">
        <f>SUM(D21:D25)</f>
        <v>36</v>
      </c>
      <c r="E26" s="467">
        <f>SUM(E21:E25)</f>
        <v>53961.42</v>
      </c>
      <c r="F26" s="508" t="s">
        <v>36</v>
      </c>
      <c r="G26" s="468">
        <f>SUM(G21:G25)</f>
        <v>160</v>
      </c>
      <c r="H26" s="464">
        <f>SUM(H21:H25)</f>
        <v>36</v>
      </c>
      <c r="I26" s="464" t="s">
        <v>36</v>
      </c>
      <c r="J26" s="465">
        <f t="shared" ref="J26:O26" si="2">SUM(J21:J25)</f>
        <v>267212.35999999975</v>
      </c>
      <c r="K26" s="465">
        <f t="shared" si="2"/>
        <v>197.719714381709</v>
      </c>
      <c r="L26" s="465">
        <f t="shared" si="2"/>
        <v>1127717.9550846883</v>
      </c>
      <c r="M26" s="465">
        <f t="shared" si="2"/>
        <v>216.92034480000001</v>
      </c>
      <c r="N26" s="465">
        <f t="shared" si="2"/>
        <v>1394930.3150846879</v>
      </c>
      <c r="O26" s="467">
        <f t="shared" si="2"/>
        <v>10224071.997897465</v>
      </c>
      <c r="P26" s="466">
        <f t="shared" ref="P26:AO26" si="3">SUM(P21:P25)</f>
        <v>180</v>
      </c>
      <c r="Q26" s="464">
        <f t="shared" si="3"/>
        <v>0</v>
      </c>
      <c r="R26" s="464" t="s">
        <v>36</v>
      </c>
      <c r="S26" s="465">
        <f>SUM(S21:S25)</f>
        <v>297872.52531531203</v>
      </c>
      <c r="T26" s="465">
        <f t="shared" si="3"/>
        <v>0</v>
      </c>
      <c r="U26" s="465">
        <f t="shared" si="3"/>
        <v>0</v>
      </c>
      <c r="V26" s="464" t="s">
        <v>36</v>
      </c>
      <c r="W26" s="465">
        <f>SUM(W21:W25)</f>
        <v>604500</v>
      </c>
      <c r="X26" s="465">
        <f t="shared" si="3"/>
        <v>63.624858099999997</v>
      </c>
      <c r="Y26" s="465">
        <f t="shared" si="3"/>
        <v>591711.18033</v>
      </c>
      <c r="Z26" s="464" t="s">
        <v>36</v>
      </c>
      <c r="AA26" s="465">
        <f t="shared" si="3"/>
        <v>1494083.7056453119</v>
      </c>
      <c r="AB26" s="481">
        <f t="shared" si="3"/>
        <v>10950811.816342032</v>
      </c>
      <c r="AC26" s="466">
        <f t="shared" si="3"/>
        <v>50</v>
      </c>
      <c r="AD26" s="464">
        <f t="shared" si="3"/>
        <v>0</v>
      </c>
      <c r="AE26" s="465">
        <f t="shared" si="3"/>
        <v>34.475141899999997</v>
      </c>
      <c r="AF26" s="465">
        <f t="shared" si="3"/>
        <v>320618.81967</v>
      </c>
      <c r="AG26" s="464" t="s">
        <v>36</v>
      </c>
      <c r="AH26" s="465">
        <f>SUM(AH21:AH25)</f>
        <v>0</v>
      </c>
      <c r="AI26" s="464" t="s">
        <v>36</v>
      </c>
      <c r="AJ26" s="465">
        <f t="shared" si="3"/>
        <v>0</v>
      </c>
      <c r="AK26" s="464" t="s">
        <v>36</v>
      </c>
      <c r="AL26" s="465">
        <f>SUM(AL21:AL25)</f>
        <v>0</v>
      </c>
      <c r="AM26" s="464" t="s">
        <v>36</v>
      </c>
      <c r="AN26" s="465">
        <f t="shared" si="3"/>
        <v>320618.81967</v>
      </c>
      <c r="AO26" s="481">
        <f t="shared" si="3"/>
        <v>2349959.6078302814</v>
      </c>
      <c r="AP26" s="468">
        <f>SUM(AP21:AP25)</f>
        <v>150</v>
      </c>
      <c r="AQ26" s="464">
        <f>SUM(AQ21:AQ25)</f>
        <v>0</v>
      </c>
      <c r="AR26" s="464" t="s">
        <v>36</v>
      </c>
      <c r="AS26" s="465">
        <f>SUM(AS21:AS25)</f>
        <v>1165500</v>
      </c>
      <c r="AT26" s="464" t="s">
        <v>36</v>
      </c>
      <c r="AU26" s="465">
        <f>SUM(AU21:AU25)</f>
        <v>0</v>
      </c>
      <c r="AV26" s="464" t="s">
        <v>36</v>
      </c>
      <c r="AW26" s="465">
        <f>SUM(AW21:AW25)</f>
        <v>1516830</v>
      </c>
      <c r="AX26" s="464" t="s">
        <v>36</v>
      </c>
      <c r="AY26" s="465">
        <f>SUM(AY21:AY25)</f>
        <v>0</v>
      </c>
      <c r="AZ26" s="464" t="s">
        <v>36</v>
      </c>
      <c r="BA26" s="465">
        <f>SUM(BA21:BA25)</f>
        <v>2682330</v>
      </c>
      <c r="BB26" s="481">
        <f>SUM(BB21:BB25)</f>
        <v>19660003.618500002</v>
      </c>
      <c r="BC26" s="469">
        <f>SUM(BC21:BC25)</f>
        <v>380</v>
      </c>
      <c r="BD26" s="470">
        <f>SUM(BD21:BD25)</f>
        <v>0</v>
      </c>
      <c r="BE26" s="464" t="s">
        <v>36</v>
      </c>
      <c r="BF26" s="471">
        <f>SUM(BF21:BF25)</f>
        <v>4497032.5253153117</v>
      </c>
      <c r="BG26" s="471">
        <f>SUM(BG21:BG25)</f>
        <v>32960775.042672314</v>
      </c>
    </row>
    <row r="27" spans="1:60" ht="15" hidden="1" customHeight="1" thickBot="1">
      <c r="A27" s="361">
        <v>6</v>
      </c>
      <c r="B27" s="362" t="s">
        <v>97</v>
      </c>
      <c r="C27" s="363"/>
      <c r="D27" s="363"/>
      <c r="E27" s="364"/>
      <c r="F27" s="365">
        <v>277.33999999999997</v>
      </c>
      <c r="G27" s="366">
        <v>0</v>
      </c>
      <c r="H27" s="367">
        <v>0</v>
      </c>
      <c r="I27" s="368"/>
      <c r="J27" s="369"/>
      <c r="K27" s="370"/>
      <c r="L27" s="370"/>
      <c r="M27" s="370"/>
      <c r="N27" s="370"/>
      <c r="O27" s="371"/>
      <c r="P27" s="372">
        <v>0</v>
      </c>
      <c r="Q27" s="373">
        <v>0</v>
      </c>
      <c r="R27" s="374"/>
      <c r="S27" s="375"/>
      <c r="T27" s="375"/>
      <c r="U27" s="376"/>
      <c r="V27" s="377"/>
      <c r="W27" s="376"/>
      <c r="X27" s="376"/>
      <c r="Y27" s="376"/>
      <c r="Z27" s="376">
        <v>0</v>
      </c>
      <c r="AA27" s="375">
        <f>Z27*1000</f>
        <v>0</v>
      </c>
      <c r="AB27" s="378">
        <f>AA27*B31</f>
        <v>0</v>
      </c>
      <c r="AC27" s="379">
        <v>0</v>
      </c>
      <c r="AD27" s="380">
        <v>0</v>
      </c>
      <c r="AE27" s="381"/>
      <c r="AF27" s="382"/>
      <c r="AG27" s="383"/>
      <c r="AH27" s="376"/>
      <c r="AI27" s="376"/>
      <c r="AJ27" s="376"/>
      <c r="AK27" s="376"/>
      <c r="AL27" s="376"/>
      <c r="AM27" s="376">
        <v>0</v>
      </c>
      <c r="AN27" s="375">
        <v>0</v>
      </c>
      <c r="AO27" s="384">
        <f>AN27*B31</f>
        <v>0</v>
      </c>
      <c r="AP27" s="385">
        <v>0</v>
      </c>
      <c r="AQ27" s="386">
        <v>0</v>
      </c>
      <c r="AR27" s="381"/>
      <c r="AS27" s="383"/>
      <c r="AT27" s="383"/>
      <c r="AU27" s="376"/>
      <c r="AV27" s="376"/>
      <c r="AW27" s="376"/>
      <c r="AX27" s="376"/>
      <c r="AY27" s="376"/>
      <c r="AZ27" s="376">
        <v>0</v>
      </c>
      <c r="BA27" s="383">
        <v>0</v>
      </c>
      <c r="BB27" s="384">
        <f>BA27*B31</f>
        <v>0</v>
      </c>
      <c r="BC27" s="387">
        <f>P27+AC27+AP27</f>
        <v>0</v>
      </c>
      <c r="BD27" s="388">
        <f>Q27+AD27+AQ27</f>
        <v>0</v>
      </c>
      <c r="BE27" s="389"/>
      <c r="BF27" s="389">
        <f>SUM(AA27,AN27,BA27)</f>
        <v>0</v>
      </c>
      <c r="BG27" s="389">
        <f>BF27*B31</f>
        <v>0</v>
      </c>
    </row>
    <row r="28" spans="1:60" s="409" customFormat="1" ht="30" hidden="1" customHeight="1" thickTop="1" thickBot="1">
      <c r="A28" s="390"/>
      <c r="B28" s="391" t="s">
        <v>59</v>
      </c>
      <c r="C28" s="392">
        <f>SUM(C26:C27)</f>
        <v>722</v>
      </c>
      <c r="D28" s="392">
        <f>SUM(D26:D27)</f>
        <v>36</v>
      </c>
      <c r="E28" s="392">
        <f>SUM(E26:E27)</f>
        <v>53961.42</v>
      </c>
      <c r="F28" s="393"/>
      <c r="G28" s="394">
        <f>SUM(G26:G27)</f>
        <v>160</v>
      </c>
      <c r="H28" s="394">
        <f t="shared" ref="H28:AM28" si="4">SUM(H26:H27)</f>
        <v>36</v>
      </c>
      <c r="I28" s="394"/>
      <c r="J28" s="394"/>
      <c r="K28" s="395">
        <f t="shared" si="4"/>
        <v>197.719714381709</v>
      </c>
      <c r="L28" s="395">
        <f t="shared" si="4"/>
        <v>1127717.9550846883</v>
      </c>
      <c r="M28" s="395">
        <f t="shared" si="4"/>
        <v>216.92034480000001</v>
      </c>
      <c r="N28" s="395">
        <f t="shared" si="4"/>
        <v>1394930.3150846879</v>
      </c>
      <c r="O28" s="396">
        <f t="shared" si="4"/>
        <v>10224071.997897465</v>
      </c>
      <c r="P28" s="397">
        <f t="shared" si="4"/>
        <v>180</v>
      </c>
      <c r="Q28" s="397">
        <f t="shared" si="4"/>
        <v>0</v>
      </c>
      <c r="R28" s="398"/>
      <c r="S28" s="398"/>
      <c r="T28" s="398">
        <f t="shared" si="4"/>
        <v>0</v>
      </c>
      <c r="U28" s="398">
        <f t="shared" si="4"/>
        <v>0</v>
      </c>
      <c r="V28" s="398"/>
      <c r="W28" s="398"/>
      <c r="X28" s="398">
        <f t="shared" si="4"/>
        <v>63.624858099999997</v>
      </c>
      <c r="Y28" s="398">
        <f t="shared" si="4"/>
        <v>591711.18033</v>
      </c>
      <c r="Z28" s="398">
        <f t="shared" si="4"/>
        <v>0</v>
      </c>
      <c r="AA28" s="399">
        <f t="shared" si="4"/>
        <v>1494083.7056453119</v>
      </c>
      <c r="AB28" s="400">
        <f t="shared" si="4"/>
        <v>10950811.816342032</v>
      </c>
      <c r="AC28" s="401">
        <f t="shared" si="4"/>
        <v>50</v>
      </c>
      <c r="AD28" s="401">
        <f t="shared" si="4"/>
        <v>0</v>
      </c>
      <c r="AE28" s="402">
        <f t="shared" si="4"/>
        <v>34.475141899999997</v>
      </c>
      <c r="AF28" s="402">
        <f t="shared" si="4"/>
        <v>320618.81967</v>
      </c>
      <c r="AG28" s="402"/>
      <c r="AH28" s="402"/>
      <c r="AI28" s="402">
        <f t="shared" si="4"/>
        <v>0</v>
      </c>
      <c r="AJ28" s="402">
        <f t="shared" si="4"/>
        <v>0</v>
      </c>
      <c r="AK28" s="402"/>
      <c r="AL28" s="402"/>
      <c r="AM28" s="402">
        <f t="shared" si="4"/>
        <v>0</v>
      </c>
      <c r="AN28" s="403">
        <f>SUM(AN26:AN27)</f>
        <v>320618.81967</v>
      </c>
      <c r="AO28" s="402">
        <f>SUM(AO26:AO27)</f>
        <v>2349959.6078302814</v>
      </c>
      <c r="AP28" s="404">
        <f>SUM(AP26:AP27)</f>
        <v>150</v>
      </c>
      <c r="AQ28" s="404">
        <f>SUM(AQ26:AQ27)</f>
        <v>0</v>
      </c>
      <c r="AR28" s="405"/>
      <c r="AS28" s="405">
        <f>SUM(AS26:AS27)</f>
        <v>1165500</v>
      </c>
      <c r="AT28" s="405"/>
      <c r="AU28" s="405">
        <f>SUM(AU26:AU27)</f>
        <v>0</v>
      </c>
      <c r="AV28" s="405"/>
      <c r="AW28" s="405">
        <f>SUM(AW26:AW27)</f>
        <v>1516830</v>
      </c>
      <c r="AX28" s="405"/>
      <c r="AY28" s="405">
        <f t="shared" ref="AY28:BD28" si="5">SUM(AY26:AY27)</f>
        <v>0</v>
      </c>
      <c r="AZ28" s="405">
        <f t="shared" si="5"/>
        <v>0</v>
      </c>
      <c r="BA28" s="405">
        <f t="shared" si="5"/>
        <v>2682330</v>
      </c>
      <c r="BB28" s="405">
        <f t="shared" si="5"/>
        <v>19660003.618500002</v>
      </c>
      <c r="BC28" s="406">
        <f t="shared" si="5"/>
        <v>380</v>
      </c>
      <c r="BD28" s="407">
        <f t="shared" si="5"/>
        <v>0</v>
      </c>
      <c r="BE28" s="408"/>
      <c r="BF28" s="408">
        <f>SUM(BF26:BF27)</f>
        <v>4497032.5253153117</v>
      </c>
      <c r="BG28" s="408">
        <f>SUM(BG26:BG27)</f>
        <v>32960775.042672314</v>
      </c>
    </row>
    <row r="29" spans="1:60">
      <c r="B29" s="628"/>
      <c r="AB29" s="327"/>
      <c r="AO29" s="327"/>
      <c r="BB29" s="327"/>
    </row>
    <row r="30" spans="1:60" s="460" customFormat="1">
      <c r="B30" s="626"/>
      <c r="C30" s="633"/>
      <c r="N30" s="632"/>
      <c r="O30" s="632"/>
      <c r="P30" s="632"/>
      <c r="Q30" s="632"/>
      <c r="R30" s="632"/>
      <c r="S30" s="632"/>
      <c r="X30" s="632"/>
      <c r="AB30" s="632"/>
      <c r="AK30" s="634"/>
      <c r="AL30" s="634"/>
      <c r="AM30" s="634"/>
      <c r="AO30" s="632"/>
      <c r="BB30" s="632"/>
    </row>
    <row r="31" spans="1:60" ht="15.75">
      <c r="B31" s="956">
        <v>7.3294499999999996</v>
      </c>
      <c r="C31" s="956"/>
      <c r="AK31" s="411"/>
      <c r="AL31" s="411"/>
      <c r="AM31" s="412" t="e">
        <f>AM26+AG26+O26+Y26</f>
        <v>#VALUE!</v>
      </c>
    </row>
    <row r="32" spans="1:60" ht="20.25" customHeight="1">
      <c r="J32" s="327"/>
      <c r="L32" s="327"/>
      <c r="AJ32" s="413"/>
      <c r="AK32" s="413"/>
      <c r="AL32" s="413"/>
      <c r="AM32" s="413"/>
      <c r="BF32" s="413" t="s">
        <v>188</v>
      </c>
      <c r="BG32" s="3"/>
    </row>
    <row r="33" spans="2:54" ht="12" customHeight="1">
      <c r="B33" s="503" t="s">
        <v>99</v>
      </c>
      <c r="C33" s="504"/>
      <c r="D33" s="504"/>
      <c r="E33" s="504"/>
      <c r="F33" s="504"/>
      <c r="G33" s="504"/>
      <c r="H33" s="504"/>
      <c r="I33" s="504"/>
      <c r="J33" s="504"/>
      <c r="K33" s="504"/>
      <c r="L33" s="504"/>
      <c r="M33" s="504"/>
      <c r="N33" s="504"/>
      <c r="O33" s="504"/>
      <c r="P33" s="504"/>
      <c r="AI33" s="290"/>
      <c r="AJ33" s="290"/>
      <c r="AK33" s="290"/>
      <c r="AL33" s="290"/>
      <c r="AM33" s="290"/>
    </row>
    <row r="34" spans="2:54" ht="12" customHeight="1">
      <c r="B34" s="503"/>
      <c r="C34" s="504"/>
      <c r="D34" s="504"/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504"/>
      <c r="AI34" s="290"/>
      <c r="AJ34" s="290"/>
      <c r="AK34" s="290"/>
      <c r="AL34" s="290"/>
      <c r="AM34" s="290"/>
    </row>
    <row r="35" spans="2:54" ht="12" customHeight="1">
      <c r="B35" s="504" t="s">
        <v>100</v>
      </c>
      <c r="C35" s="504"/>
      <c r="D35" s="504"/>
      <c r="E35" s="504"/>
      <c r="F35" s="503">
        <v>79.239999999999995</v>
      </c>
      <c r="G35" s="503"/>
      <c r="H35" s="504" t="s">
        <v>89</v>
      </c>
      <c r="I35" s="504"/>
      <c r="J35" s="504"/>
      <c r="K35" s="504"/>
      <c r="L35" s="504"/>
      <c r="M35" s="504"/>
      <c r="N35" s="504"/>
      <c r="O35" s="504"/>
      <c r="P35" s="504"/>
      <c r="AI35" s="290"/>
      <c r="AJ35" s="290"/>
      <c r="AK35" s="290"/>
      <c r="AL35" s="290"/>
      <c r="AM35" s="290"/>
    </row>
    <row r="36" spans="2:54" ht="12" customHeight="1">
      <c r="B36" s="504" t="s">
        <v>101</v>
      </c>
      <c r="C36" s="504"/>
      <c r="D36" s="504"/>
      <c r="E36" s="504"/>
      <c r="F36" s="503">
        <v>35</v>
      </c>
      <c r="G36" s="503"/>
      <c r="H36" s="504" t="s">
        <v>89</v>
      </c>
      <c r="I36" s="504"/>
      <c r="J36" s="504"/>
      <c r="K36" s="504"/>
      <c r="L36" s="504"/>
      <c r="M36" s="504"/>
      <c r="N36" s="504"/>
      <c r="O36" s="504"/>
      <c r="P36" s="504"/>
      <c r="AI36" s="290"/>
      <c r="AJ36" s="290"/>
      <c r="AK36" s="290"/>
      <c r="AL36" s="290"/>
      <c r="AM36" s="290"/>
    </row>
    <row r="37" spans="2:54">
      <c r="B37" s="504" t="s">
        <v>102</v>
      </c>
      <c r="C37" s="504"/>
      <c r="D37" s="504"/>
      <c r="E37" s="504"/>
      <c r="F37" s="503">
        <v>277.33999999999997</v>
      </c>
      <c r="G37" s="503"/>
      <c r="H37" s="504" t="s">
        <v>89</v>
      </c>
      <c r="I37" s="504"/>
      <c r="J37" s="504"/>
      <c r="K37" s="504"/>
      <c r="L37" s="504"/>
      <c r="M37" s="504"/>
      <c r="N37" s="504"/>
      <c r="O37" s="504"/>
      <c r="P37" s="504"/>
    </row>
    <row r="38" spans="2:54">
      <c r="B38" s="504" t="s">
        <v>103</v>
      </c>
      <c r="C38" s="504"/>
      <c r="D38" s="504"/>
      <c r="E38" s="504"/>
      <c r="F38" s="504">
        <v>198.1</v>
      </c>
      <c r="G38" s="504"/>
      <c r="H38" s="504" t="s">
        <v>89</v>
      </c>
      <c r="I38" s="504"/>
      <c r="J38" s="504"/>
      <c r="K38" s="504"/>
      <c r="L38" s="504"/>
      <c r="M38" s="504"/>
      <c r="N38" s="504"/>
      <c r="O38" s="504"/>
      <c r="P38" s="504"/>
    </row>
    <row r="39" spans="2:54">
      <c r="B39" s="504"/>
      <c r="C39" s="504"/>
      <c r="D39" s="504"/>
      <c r="E39" s="504"/>
      <c r="F39" s="504"/>
      <c r="G39" s="504"/>
      <c r="H39" s="504"/>
      <c r="I39" s="504"/>
      <c r="J39" s="504"/>
      <c r="K39" s="504"/>
      <c r="L39" s="504"/>
      <c r="M39" s="504"/>
      <c r="N39" s="504"/>
      <c r="O39" s="504"/>
      <c r="P39" s="504"/>
    </row>
    <row r="40" spans="2:54">
      <c r="AQ40" s="952" t="s">
        <v>184</v>
      </c>
      <c r="AR40" s="952"/>
      <c r="AS40" s="952"/>
      <c r="AT40" s="952"/>
      <c r="AU40" s="952"/>
      <c r="AV40" s="952"/>
      <c r="AW40" s="952"/>
      <c r="AX40" s="952"/>
      <c r="AY40" s="952"/>
      <c r="AZ40" s="952"/>
      <c r="BA40" s="952"/>
      <c r="BB40" s="952"/>
    </row>
    <row r="41" spans="2:54">
      <c r="AQ41" s="952"/>
      <c r="AR41" s="952"/>
      <c r="AS41" s="952"/>
      <c r="AT41" s="952"/>
      <c r="AU41" s="952"/>
      <c r="AV41" s="952"/>
      <c r="AW41" s="952"/>
      <c r="AX41" s="952"/>
      <c r="AY41" s="952"/>
      <c r="AZ41" s="952"/>
      <c r="BA41" s="952"/>
      <c r="BB41" s="952"/>
    </row>
  </sheetData>
  <mergeCells count="17">
    <mergeCell ref="AQ40:BB41"/>
    <mergeCell ref="A1:B1"/>
    <mergeCell ref="A9:BB12"/>
    <mergeCell ref="A3:E3"/>
    <mergeCell ref="B31:C31"/>
    <mergeCell ref="F18:F19"/>
    <mergeCell ref="A17:A19"/>
    <mergeCell ref="B17:B19"/>
    <mergeCell ref="C17:C19"/>
    <mergeCell ref="D17:D19"/>
    <mergeCell ref="E17:E19"/>
    <mergeCell ref="BC17:BG18"/>
    <mergeCell ref="G18:O18"/>
    <mergeCell ref="P18:AB18"/>
    <mergeCell ref="AC18:AO18"/>
    <mergeCell ref="AP18:BB18"/>
    <mergeCell ref="F17:BB17"/>
  </mergeCells>
  <phoneticPr fontId="21" type="noConversion"/>
  <pageMargins left="0.15748031496062992" right="0.15748031496062992" top="0.19" bottom="0.19685039370078741" header="0.15748031496062992" footer="0.1574803149606299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H46"/>
  <sheetViews>
    <sheetView view="pageBreakPreview" topLeftCell="A13" zoomScaleSheetLayoutView="100" workbookViewId="0">
      <pane xSplit="2" ySplit="6" topLeftCell="F19" activePane="bottomRight" state="frozen"/>
      <selection activeCell="A13" sqref="A13"/>
      <selection pane="topRight" activeCell="C13" sqref="C13"/>
      <selection pane="bottomLeft" activeCell="A19" sqref="A19"/>
      <selection pane="bottomRight" activeCell="Q41" sqref="Q41"/>
    </sheetView>
  </sheetViews>
  <sheetFormatPr defaultRowHeight="12.75" outlineLevelCol="1"/>
  <cols>
    <col min="1" max="1" width="5.33203125" style="1" customWidth="1"/>
    <col min="2" max="2" width="43" style="1" customWidth="1"/>
    <col min="3" max="3" width="13.1640625" style="1" customWidth="1"/>
    <col min="4" max="4" width="8.6640625" style="1" customWidth="1"/>
    <col min="5" max="5" width="13" style="1" customWidth="1"/>
    <col min="6" max="6" width="11.1640625" style="1" customWidth="1"/>
    <col min="7" max="7" width="13" style="1" hidden="1" customWidth="1" outlineLevel="1"/>
    <col min="8" max="8" width="7.1640625" style="1" hidden="1" customWidth="1" outlineLevel="1"/>
    <col min="9" max="9" width="8.6640625" style="1" hidden="1" customWidth="1" outlineLevel="1"/>
    <col min="10" max="10" width="14.1640625" style="1" hidden="1" customWidth="1" outlineLevel="1"/>
    <col min="11" max="11" width="7.33203125" style="1" hidden="1" customWidth="1" outlineLevel="1"/>
    <col min="12" max="12" width="16.5" style="1" hidden="1" customWidth="1" outlineLevel="1"/>
    <col min="13" max="13" width="7.83203125" style="1" hidden="1" customWidth="1" outlineLevel="1"/>
    <col min="14" max="14" width="14.1640625" style="1" hidden="1" customWidth="1" outlineLevel="1"/>
    <col min="15" max="15" width="16.6640625" style="1" hidden="1" customWidth="1" outlineLevel="1"/>
    <col min="16" max="16" width="10" style="1" customWidth="1" collapsed="1"/>
    <col min="17" max="17" width="10" style="1" customWidth="1"/>
    <col min="18" max="18" width="10" style="1" hidden="1" customWidth="1" outlineLevel="1"/>
    <col min="19" max="19" width="14.6640625" style="1" hidden="1" customWidth="1" outlineLevel="1"/>
    <col min="20" max="20" width="10" style="1" hidden="1" customWidth="1" outlineLevel="1"/>
    <col min="21" max="21" width="15.5" style="1" hidden="1" customWidth="1" outlineLevel="1"/>
    <col min="22" max="24" width="10" style="1" hidden="1" customWidth="1" outlineLevel="1"/>
    <col min="25" max="25" width="14.5" style="1" hidden="1" customWidth="1" outlineLevel="1"/>
    <col min="26" max="26" width="10" style="1" customWidth="1" collapsed="1"/>
    <col min="27" max="27" width="14" style="1" hidden="1" customWidth="1" outlineLevel="1"/>
    <col min="28" max="28" width="15.5" style="1" customWidth="1" collapsed="1"/>
    <col min="29" max="30" width="10" style="1" customWidth="1"/>
    <col min="31" max="31" width="10" style="1" hidden="1" customWidth="1" outlineLevel="1"/>
    <col min="32" max="33" width="13" style="1" hidden="1" customWidth="1" outlineLevel="1"/>
    <col min="34" max="34" width="15" style="1" hidden="1" customWidth="1" outlineLevel="1"/>
    <col min="35" max="35" width="13.1640625" style="1" hidden="1" customWidth="1" outlineLevel="1"/>
    <col min="36" max="36" width="12.33203125" style="1" hidden="1" customWidth="1" outlineLevel="1"/>
    <col min="37" max="37" width="10" style="1" hidden="1" customWidth="1" outlineLevel="1"/>
    <col min="38" max="38" width="15.1640625" style="1" hidden="1" customWidth="1" outlineLevel="1"/>
    <col min="39" max="39" width="10" style="1" customWidth="1" collapsed="1"/>
    <col min="40" max="40" width="14" style="1" hidden="1" customWidth="1" outlineLevel="1"/>
    <col min="41" max="41" width="15.6640625" style="1" customWidth="1" collapsed="1"/>
    <col min="42" max="43" width="10.1640625" style="1" customWidth="1"/>
    <col min="44" max="45" width="10.1640625" style="1" hidden="1" customWidth="1" outlineLevel="1"/>
    <col min="46" max="46" width="12.1640625" style="1" hidden="1" customWidth="1" outlineLevel="1"/>
    <col min="47" max="47" width="16.33203125" style="1" hidden="1" customWidth="1" outlineLevel="1"/>
    <col min="48" max="48" width="13" style="1" hidden="1" customWidth="1" outlineLevel="1"/>
    <col min="49" max="49" width="14.83203125" style="1" hidden="1" customWidth="1" outlineLevel="1"/>
    <col min="50" max="50" width="10.5" style="1" hidden="1" customWidth="1" outlineLevel="1"/>
    <col min="51" max="51" width="14" style="1" hidden="1" customWidth="1" outlineLevel="1"/>
    <col min="52" max="52" width="10.1640625" style="1" customWidth="1" collapsed="1"/>
    <col min="53" max="53" width="15" style="1" hidden="1" customWidth="1" outlineLevel="1"/>
    <col min="54" max="54" width="16.6640625" style="1" bestFit="1" customWidth="1" collapsed="1"/>
    <col min="55" max="55" width="15.83203125" style="1" hidden="1" customWidth="1" outlineLevel="1"/>
    <col min="56" max="56" width="16.33203125" style="1" hidden="1" customWidth="1" outlineLevel="1"/>
    <col min="57" max="57" width="15" style="1" hidden="1" customWidth="1" outlineLevel="1"/>
    <col min="58" max="58" width="18.6640625" style="1" hidden="1" customWidth="1" outlineLevel="1"/>
    <col min="59" max="59" width="16.5" style="1" hidden="1" customWidth="1" outlineLevel="1"/>
    <col min="60" max="60" width="1.33203125" style="1" customWidth="1" collapsed="1"/>
    <col min="61" max="61" width="9.33203125" style="1"/>
    <col min="62" max="62" width="22.1640625" style="1" customWidth="1"/>
    <col min="63" max="16384" width="9.33203125" style="1"/>
  </cols>
  <sheetData>
    <row r="1" spans="1:60" ht="12.75" customHeight="1"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60" ht="27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60" ht="27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60" ht="27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60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60">
      <c r="A6" s="954" t="s">
        <v>133</v>
      </c>
      <c r="B6" s="897"/>
      <c r="C6" s="897"/>
      <c r="D6" s="897"/>
      <c r="E6" s="897"/>
      <c r="F6" s="897"/>
      <c r="G6" s="897"/>
      <c r="H6" s="897"/>
      <c r="I6" s="897"/>
      <c r="J6" s="897"/>
      <c r="K6" s="897"/>
      <c r="L6" s="897"/>
      <c r="M6" s="897"/>
      <c r="N6" s="897"/>
      <c r="O6" s="897"/>
      <c r="P6" s="897"/>
      <c r="Q6" s="897"/>
      <c r="R6" s="897"/>
      <c r="S6" s="897"/>
      <c r="T6" s="897"/>
      <c r="U6" s="897"/>
      <c r="V6" s="897"/>
      <c r="W6" s="897"/>
      <c r="X6" s="897"/>
      <c r="Y6" s="897"/>
      <c r="Z6" s="897"/>
      <c r="AA6" s="897"/>
      <c r="AB6" s="897"/>
      <c r="AC6" s="897"/>
      <c r="AD6" s="897"/>
      <c r="AE6" s="897"/>
      <c r="AF6" s="897"/>
      <c r="AG6" s="897"/>
      <c r="AH6" s="897"/>
      <c r="AI6" s="897"/>
      <c r="AJ6" s="897"/>
      <c r="AK6" s="897"/>
      <c r="AL6" s="897"/>
      <c r="AM6" s="897"/>
      <c r="AN6" s="897"/>
      <c r="AO6" s="897"/>
      <c r="AP6" s="897"/>
      <c r="AQ6" s="897"/>
      <c r="AR6" s="897"/>
      <c r="AS6" s="897"/>
      <c r="AT6" s="897"/>
      <c r="AU6" s="897"/>
      <c r="AV6" s="897"/>
      <c r="AW6" s="897"/>
      <c r="AX6" s="897"/>
      <c r="AY6" s="897"/>
      <c r="AZ6" s="897"/>
      <c r="BA6" s="897"/>
      <c r="BB6" s="897"/>
    </row>
    <row r="7" spans="1:60">
      <c r="A7" s="897"/>
      <c r="B7" s="897"/>
      <c r="C7" s="897"/>
      <c r="D7" s="897"/>
      <c r="E7" s="897"/>
      <c r="F7" s="897"/>
      <c r="G7" s="897"/>
      <c r="H7" s="897"/>
      <c r="I7" s="897"/>
      <c r="J7" s="897"/>
      <c r="K7" s="897"/>
      <c r="L7" s="897"/>
      <c r="M7" s="897"/>
      <c r="N7" s="897"/>
      <c r="O7" s="897"/>
      <c r="P7" s="897"/>
      <c r="Q7" s="897"/>
      <c r="R7" s="897"/>
      <c r="S7" s="897"/>
      <c r="T7" s="897"/>
      <c r="U7" s="897"/>
      <c r="V7" s="897"/>
      <c r="W7" s="897"/>
      <c r="X7" s="897"/>
      <c r="Y7" s="897"/>
      <c r="Z7" s="897"/>
      <c r="AA7" s="897"/>
      <c r="AB7" s="897"/>
      <c r="AC7" s="897"/>
      <c r="AD7" s="897"/>
      <c r="AE7" s="897"/>
      <c r="AF7" s="897"/>
      <c r="AG7" s="897"/>
      <c r="AH7" s="897"/>
      <c r="AI7" s="897"/>
      <c r="AJ7" s="897"/>
      <c r="AK7" s="897"/>
      <c r="AL7" s="897"/>
      <c r="AM7" s="897"/>
      <c r="AN7" s="897"/>
      <c r="AO7" s="897"/>
      <c r="AP7" s="897"/>
      <c r="AQ7" s="897"/>
      <c r="AR7" s="897"/>
      <c r="AS7" s="897"/>
      <c r="AT7" s="897"/>
      <c r="AU7" s="897"/>
      <c r="AV7" s="897"/>
      <c r="AW7" s="897"/>
      <c r="AX7" s="897"/>
      <c r="AY7" s="897"/>
      <c r="AZ7" s="897"/>
      <c r="BA7" s="897"/>
      <c r="BB7" s="897"/>
    </row>
    <row r="8" spans="1:60" ht="15.75" customHeight="1">
      <c r="A8" s="897"/>
      <c r="B8" s="897"/>
      <c r="C8" s="897"/>
      <c r="D8" s="897"/>
      <c r="E8" s="897"/>
      <c r="F8" s="897"/>
      <c r="G8" s="897"/>
      <c r="H8" s="897"/>
      <c r="I8" s="897"/>
      <c r="J8" s="897"/>
      <c r="K8" s="897"/>
      <c r="L8" s="897"/>
      <c r="M8" s="897"/>
      <c r="N8" s="897"/>
      <c r="O8" s="897"/>
      <c r="P8" s="897"/>
      <c r="Q8" s="897"/>
      <c r="R8" s="897"/>
      <c r="S8" s="897"/>
      <c r="T8" s="897"/>
      <c r="U8" s="897"/>
      <c r="V8" s="897"/>
      <c r="W8" s="897"/>
      <c r="X8" s="897"/>
      <c r="Y8" s="897"/>
      <c r="Z8" s="897"/>
      <c r="AA8" s="897"/>
      <c r="AB8" s="897"/>
      <c r="AC8" s="897"/>
      <c r="AD8" s="897"/>
      <c r="AE8" s="897"/>
      <c r="AF8" s="897"/>
      <c r="AG8" s="897"/>
      <c r="AH8" s="897"/>
      <c r="AI8" s="897"/>
      <c r="AJ8" s="897"/>
      <c r="AK8" s="897"/>
      <c r="AL8" s="897"/>
      <c r="AM8" s="897"/>
      <c r="AN8" s="897"/>
      <c r="AO8" s="897"/>
      <c r="AP8" s="897"/>
      <c r="AQ8" s="897"/>
      <c r="AR8" s="897"/>
      <c r="AS8" s="897"/>
      <c r="AT8" s="897"/>
      <c r="AU8" s="897"/>
      <c r="AV8" s="897"/>
      <c r="AW8" s="897"/>
      <c r="AX8" s="897"/>
      <c r="AY8" s="897"/>
      <c r="AZ8" s="897"/>
      <c r="BA8" s="897"/>
      <c r="BB8" s="897"/>
    </row>
    <row r="9" spans="1:60" ht="12.75" customHeight="1">
      <c r="A9" s="897"/>
      <c r="B9" s="897"/>
      <c r="C9" s="897"/>
      <c r="D9" s="897"/>
      <c r="E9" s="897"/>
      <c r="F9" s="897"/>
      <c r="G9" s="897"/>
      <c r="H9" s="897"/>
      <c r="I9" s="897"/>
      <c r="J9" s="897"/>
      <c r="K9" s="897"/>
      <c r="L9" s="897"/>
      <c r="M9" s="897"/>
      <c r="N9" s="897"/>
      <c r="O9" s="897"/>
      <c r="P9" s="897"/>
      <c r="Q9" s="897"/>
      <c r="R9" s="897"/>
      <c r="S9" s="897"/>
      <c r="T9" s="897"/>
      <c r="U9" s="897"/>
      <c r="V9" s="897"/>
      <c r="W9" s="897"/>
      <c r="X9" s="897"/>
      <c r="Y9" s="897"/>
      <c r="Z9" s="897"/>
      <c r="AA9" s="897"/>
      <c r="AB9" s="897"/>
      <c r="AC9" s="897"/>
      <c r="AD9" s="897"/>
      <c r="AE9" s="897"/>
      <c r="AF9" s="897"/>
      <c r="AG9" s="897"/>
      <c r="AH9" s="897"/>
      <c r="AI9" s="897"/>
      <c r="AJ9" s="897"/>
      <c r="AK9" s="897"/>
      <c r="AL9" s="897"/>
      <c r="AM9" s="897"/>
      <c r="AN9" s="897"/>
      <c r="AO9" s="897"/>
      <c r="AP9" s="897"/>
      <c r="AQ9" s="897"/>
      <c r="AR9" s="897"/>
      <c r="AS9" s="897"/>
      <c r="AT9" s="897"/>
      <c r="AU9" s="897"/>
      <c r="AV9" s="897"/>
      <c r="AW9" s="897"/>
      <c r="AX9" s="897"/>
      <c r="AY9" s="897"/>
      <c r="AZ9" s="897"/>
      <c r="BA9" s="897"/>
      <c r="BB9" s="897"/>
    </row>
    <row r="10" spans="1:60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60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60" ht="12.75" customHeight="1">
      <c r="A12" s="8"/>
      <c r="B12" s="32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60" ht="12.75" customHeight="1">
      <c r="A13" s="10"/>
      <c r="C13" s="325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60" ht="15.75">
      <c r="B14" s="326"/>
      <c r="O14" s="3"/>
      <c r="P14" s="3"/>
      <c r="Q14" s="3"/>
      <c r="R14" s="3"/>
      <c r="S14" s="3"/>
      <c r="V14" s="327"/>
      <c r="W14" s="327"/>
      <c r="X14" s="328"/>
    </row>
    <row r="15" spans="1:60" s="12" customFormat="1" ht="30.75" customHeight="1">
      <c r="A15" s="959" t="s">
        <v>16</v>
      </c>
      <c r="B15" s="882" t="s">
        <v>123</v>
      </c>
      <c r="C15" s="905" t="s">
        <v>18</v>
      </c>
      <c r="D15" s="886" t="s">
        <v>19</v>
      </c>
      <c r="E15" s="934" t="s">
        <v>124</v>
      </c>
      <c r="F15" s="969" t="s">
        <v>1</v>
      </c>
      <c r="G15" s="969"/>
      <c r="H15" s="969"/>
      <c r="I15" s="969"/>
      <c r="J15" s="969"/>
      <c r="K15" s="969"/>
      <c r="L15" s="969"/>
      <c r="M15" s="969"/>
      <c r="N15" s="969"/>
      <c r="O15" s="969"/>
      <c r="P15" s="969"/>
      <c r="Q15" s="969"/>
      <c r="R15" s="969"/>
      <c r="S15" s="969"/>
      <c r="T15" s="969"/>
      <c r="U15" s="969"/>
      <c r="V15" s="969"/>
      <c r="W15" s="969"/>
      <c r="X15" s="969"/>
      <c r="Y15" s="969"/>
      <c r="Z15" s="969"/>
      <c r="AA15" s="969"/>
      <c r="AB15" s="969"/>
      <c r="AC15" s="969"/>
      <c r="AD15" s="969"/>
      <c r="AE15" s="969"/>
      <c r="AF15" s="969"/>
      <c r="AG15" s="969"/>
      <c r="AH15" s="969"/>
      <c r="AI15" s="969"/>
      <c r="AJ15" s="969"/>
      <c r="AK15" s="969"/>
      <c r="AL15" s="969"/>
      <c r="AM15" s="969"/>
      <c r="AN15" s="969"/>
      <c r="AO15" s="969"/>
      <c r="AP15" s="969"/>
      <c r="AQ15" s="969"/>
      <c r="AR15" s="969"/>
      <c r="AS15" s="969"/>
      <c r="AT15" s="969"/>
      <c r="AU15" s="969"/>
      <c r="AV15" s="969"/>
      <c r="AW15" s="969"/>
      <c r="AX15" s="969"/>
      <c r="AY15" s="969"/>
      <c r="AZ15" s="969"/>
      <c r="BA15" s="969"/>
      <c r="BB15" s="970"/>
      <c r="BC15" s="937" t="s">
        <v>70</v>
      </c>
      <c r="BD15" s="938"/>
      <c r="BE15" s="938"/>
      <c r="BF15" s="938"/>
      <c r="BG15" s="938"/>
    </row>
    <row r="16" spans="1:60" s="13" customFormat="1" ht="27" customHeight="1">
      <c r="A16" s="960"/>
      <c r="B16" s="883"/>
      <c r="C16" s="962"/>
      <c r="D16" s="887"/>
      <c r="E16" s="935"/>
      <c r="F16" s="965" t="s">
        <v>128</v>
      </c>
      <c r="G16" s="968" t="s">
        <v>71</v>
      </c>
      <c r="H16" s="939"/>
      <c r="I16" s="939"/>
      <c r="J16" s="939"/>
      <c r="K16" s="939"/>
      <c r="L16" s="939"/>
      <c r="M16" s="939"/>
      <c r="N16" s="939"/>
      <c r="O16" s="940"/>
      <c r="P16" s="941" t="s">
        <v>50</v>
      </c>
      <c r="Q16" s="942"/>
      <c r="R16" s="942"/>
      <c r="S16" s="942"/>
      <c r="T16" s="942"/>
      <c r="U16" s="942"/>
      <c r="V16" s="942"/>
      <c r="W16" s="942"/>
      <c r="X16" s="942"/>
      <c r="Y16" s="942"/>
      <c r="Z16" s="942"/>
      <c r="AA16" s="942"/>
      <c r="AB16" s="943"/>
      <c r="AC16" s="944" t="s">
        <v>48</v>
      </c>
      <c r="AD16" s="945"/>
      <c r="AE16" s="945"/>
      <c r="AF16" s="945"/>
      <c r="AG16" s="945"/>
      <c r="AH16" s="945"/>
      <c r="AI16" s="945"/>
      <c r="AJ16" s="945"/>
      <c r="AK16" s="945"/>
      <c r="AL16" s="945"/>
      <c r="AM16" s="945"/>
      <c r="AN16" s="945"/>
      <c r="AO16" s="946"/>
      <c r="AP16" s="947" t="s">
        <v>49</v>
      </c>
      <c r="AQ16" s="947"/>
      <c r="AR16" s="947"/>
      <c r="AS16" s="947"/>
      <c r="AT16" s="947"/>
      <c r="AU16" s="947"/>
      <c r="AV16" s="947"/>
      <c r="AW16" s="947"/>
      <c r="AX16" s="947"/>
      <c r="AY16" s="947"/>
      <c r="AZ16" s="947"/>
      <c r="BA16" s="947"/>
      <c r="BB16" s="948"/>
      <c r="BC16" s="937"/>
      <c r="BD16" s="937"/>
      <c r="BE16" s="937"/>
      <c r="BF16" s="938"/>
      <c r="BG16" s="938"/>
      <c r="BH16" s="426"/>
    </row>
    <row r="17" spans="1:60" s="13" customFormat="1" ht="49.5" customHeight="1">
      <c r="A17" s="961"/>
      <c r="B17" s="884"/>
      <c r="C17" s="963"/>
      <c r="D17" s="888"/>
      <c r="E17" s="936"/>
      <c r="F17" s="966"/>
      <c r="G17" s="330" t="s">
        <v>72</v>
      </c>
      <c r="H17" s="331" t="s">
        <v>73</v>
      </c>
      <c r="I17" s="332" t="s">
        <v>74</v>
      </c>
      <c r="J17" s="333" t="s">
        <v>75</v>
      </c>
      <c r="K17" s="333" t="s">
        <v>76</v>
      </c>
      <c r="L17" s="333" t="s">
        <v>77</v>
      </c>
      <c r="M17" s="333" t="s">
        <v>78</v>
      </c>
      <c r="N17" s="333" t="s">
        <v>104</v>
      </c>
      <c r="O17" s="334" t="s">
        <v>79</v>
      </c>
      <c r="P17" s="255" t="s">
        <v>29</v>
      </c>
      <c r="Q17" s="37" t="s">
        <v>30</v>
      </c>
      <c r="R17" s="482" t="s">
        <v>80</v>
      </c>
      <c r="S17" s="37" t="s">
        <v>81</v>
      </c>
      <c r="T17" s="37" t="s">
        <v>82</v>
      </c>
      <c r="U17" s="37" t="s">
        <v>83</v>
      </c>
      <c r="V17" s="37" t="s">
        <v>84</v>
      </c>
      <c r="W17" s="37" t="s">
        <v>85</v>
      </c>
      <c r="X17" s="37" t="s">
        <v>76</v>
      </c>
      <c r="Y17" s="37" t="s">
        <v>77</v>
      </c>
      <c r="Z17" s="37" t="s">
        <v>89</v>
      </c>
      <c r="AA17" s="37" t="s">
        <v>86</v>
      </c>
      <c r="AB17" s="38" t="s">
        <v>33</v>
      </c>
      <c r="AC17" s="490" t="s">
        <v>29</v>
      </c>
      <c r="AD17" s="216" t="s">
        <v>30</v>
      </c>
      <c r="AE17" s="273" t="s">
        <v>80</v>
      </c>
      <c r="AF17" s="216" t="s">
        <v>81</v>
      </c>
      <c r="AG17" s="216" t="s">
        <v>82</v>
      </c>
      <c r="AH17" s="216" t="s">
        <v>83</v>
      </c>
      <c r="AI17" s="216" t="s">
        <v>84</v>
      </c>
      <c r="AJ17" s="216" t="s">
        <v>85</v>
      </c>
      <c r="AK17" s="216" t="s">
        <v>76</v>
      </c>
      <c r="AL17" s="216" t="s">
        <v>77</v>
      </c>
      <c r="AM17" s="216" t="s">
        <v>127</v>
      </c>
      <c r="AN17" s="216" t="s">
        <v>87</v>
      </c>
      <c r="AO17" s="217" t="s">
        <v>33</v>
      </c>
      <c r="AP17" s="521" t="s">
        <v>29</v>
      </c>
      <c r="AQ17" s="54" t="s">
        <v>30</v>
      </c>
      <c r="AR17" s="79" t="s">
        <v>80</v>
      </c>
      <c r="AS17" s="54" t="s">
        <v>81</v>
      </c>
      <c r="AT17" s="54" t="s">
        <v>82</v>
      </c>
      <c r="AU17" s="54" t="s">
        <v>83</v>
      </c>
      <c r="AV17" s="54" t="s">
        <v>84</v>
      </c>
      <c r="AW17" s="54" t="s">
        <v>85</v>
      </c>
      <c r="AX17" s="54" t="s">
        <v>76</v>
      </c>
      <c r="AY17" s="54" t="s">
        <v>77</v>
      </c>
      <c r="AZ17" s="54" t="s">
        <v>89</v>
      </c>
      <c r="BA17" s="54" t="s">
        <v>88</v>
      </c>
      <c r="BB17" s="55" t="s">
        <v>33</v>
      </c>
      <c r="BC17" s="335" t="s">
        <v>18</v>
      </c>
      <c r="BD17" s="336" t="s">
        <v>19</v>
      </c>
      <c r="BE17" s="336" t="s">
        <v>89</v>
      </c>
      <c r="BF17" s="336" t="s">
        <v>90</v>
      </c>
      <c r="BG17" s="336" t="s">
        <v>109</v>
      </c>
      <c r="BH17" s="426"/>
    </row>
    <row r="18" spans="1:60" s="520" customFormat="1" ht="9.75" customHeight="1">
      <c r="A18" s="43">
        <v>1</v>
      </c>
      <c r="B18" s="42">
        <v>2</v>
      </c>
      <c r="C18" s="45">
        <v>3</v>
      </c>
      <c r="D18" s="4">
        <v>4</v>
      </c>
      <c r="E18" s="7">
        <v>5</v>
      </c>
      <c r="F18" s="518">
        <v>6</v>
      </c>
      <c r="G18" s="45"/>
      <c r="H18" s="4"/>
      <c r="I18" s="4"/>
      <c r="J18" s="4"/>
      <c r="K18" s="4"/>
      <c r="L18" s="45"/>
      <c r="M18" s="4"/>
      <c r="N18" s="4"/>
      <c r="O18" s="7"/>
      <c r="P18" s="81">
        <v>7</v>
      </c>
      <c r="Q18" s="4">
        <v>8</v>
      </c>
      <c r="R18" s="45"/>
      <c r="S18" s="4"/>
      <c r="T18" s="4"/>
      <c r="U18" s="4"/>
      <c r="V18" s="45"/>
      <c r="W18" s="45"/>
      <c r="X18" s="45"/>
      <c r="Y18" s="275"/>
      <c r="Z18" s="513">
        <v>9</v>
      </c>
      <c r="AA18" s="46"/>
      <c r="AB18" s="514">
        <v>10</v>
      </c>
      <c r="AC18" s="515">
        <v>11</v>
      </c>
      <c r="AD18" s="46">
        <v>12</v>
      </c>
      <c r="AE18" s="45"/>
      <c r="AF18" s="4"/>
      <c r="AG18" s="4"/>
      <c r="AH18" s="275"/>
      <c r="AI18" s="6"/>
      <c r="AJ18" s="6"/>
      <c r="AK18" s="6"/>
      <c r="AL18" s="4"/>
      <c r="AM18" s="516">
        <v>13</v>
      </c>
      <c r="AN18" s="517"/>
      <c r="AO18" s="514">
        <v>14</v>
      </c>
      <c r="AP18" s="513">
        <v>15</v>
      </c>
      <c r="AQ18" s="513">
        <v>16</v>
      </c>
      <c r="AR18" s="275"/>
      <c r="AS18" s="6"/>
      <c r="AT18" s="6"/>
      <c r="AU18" s="6"/>
      <c r="AV18" s="6"/>
      <c r="AW18" s="6"/>
      <c r="AX18" s="6"/>
      <c r="AY18" s="4"/>
      <c r="AZ18" s="46">
        <v>17</v>
      </c>
      <c r="BA18" s="516"/>
      <c r="BB18" s="514">
        <v>18</v>
      </c>
      <c r="BC18" s="518"/>
      <c r="BD18" s="512"/>
      <c r="BE18" s="519"/>
      <c r="BF18" s="519"/>
      <c r="BG18" s="519"/>
    </row>
    <row r="19" spans="1:60" s="338" customFormat="1" ht="15" customHeight="1">
      <c r="A19" s="337">
        <v>1</v>
      </c>
      <c r="B19" s="416" t="s">
        <v>110</v>
      </c>
      <c r="C19" s="418">
        <v>60</v>
      </c>
      <c r="D19" s="418">
        <v>60</v>
      </c>
      <c r="E19" s="522">
        <v>6504.01</v>
      </c>
      <c r="F19" s="530">
        <v>277.33999999999997</v>
      </c>
      <c r="G19" s="419">
        <v>60</v>
      </c>
      <c r="H19" s="339">
        <v>60</v>
      </c>
      <c r="I19" s="419">
        <f>J19/E19</f>
        <v>67.232771530441951</v>
      </c>
      <c r="J19" s="340">
        <v>437282.61836170976</v>
      </c>
      <c r="K19" s="340">
        <v>82.240248729855637</v>
      </c>
      <c r="L19" s="341">
        <f t="shared" ref="L19:L24" si="0">E19*K19</f>
        <v>534891.40014146839</v>
      </c>
      <c r="M19" s="341">
        <f t="shared" ref="M19:M24" si="1">SUM(I19+K19)</f>
        <v>149.47302026029757</v>
      </c>
      <c r="N19" s="341">
        <f t="shared" ref="N19:N24" si="2">E19*M19</f>
        <v>972174.01850317803</v>
      </c>
      <c r="O19" s="342">
        <f>N19*$B$34</f>
        <v>7084053.192813254</v>
      </c>
      <c r="P19" s="532">
        <v>0</v>
      </c>
      <c r="Q19" s="533">
        <v>0</v>
      </c>
      <c r="R19" s="485">
        <v>0</v>
      </c>
      <c r="S19" s="486">
        <f t="shared" ref="S19:S24" si="3">E19*R19</f>
        <v>0</v>
      </c>
      <c r="T19" s="486">
        <v>0</v>
      </c>
      <c r="U19" s="486">
        <f t="shared" ref="U19:U24" si="4">E19*T19</f>
        <v>0</v>
      </c>
      <c r="V19" s="485">
        <v>0</v>
      </c>
      <c r="W19" s="486">
        <f t="shared" ref="W19:W24" si="5">E19*V19</f>
        <v>0</v>
      </c>
      <c r="X19" s="485">
        <v>0</v>
      </c>
      <c r="Y19" s="486">
        <f t="shared" ref="Y19:Y24" si="6">E19*X19</f>
        <v>0</v>
      </c>
      <c r="Z19" s="486">
        <f t="shared" ref="Z19:Z24" si="7">SUM(R19,T19,V19,X19)</f>
        <v>0</v>
      </c>
      <c r="AA19" s="534">
        <f t="shared" ref="AA19:AA24" si="8">Z19*E19</f>
        <v>0</v>
      </c>
      <c r="AB19" s="487">
        <f>AA19*$B$34</f>
        <v>0</v>
      </c>
      <c r="AC19" s="491">
        <v>0</v>
      </c>
      <c r="AD19" s="492">
        <v>0</v>
      </c>
      <c r="AE19" s="493">
        <v>0</v>
      </c>
      <c r="AF19" s="494">
        <f t="shared" ref="AF19:AF24" si="9">E19*AE19</f>
        <v>0</v>
      </c>
      <c r="AG19" s="494">
        <v>0</v>
      </c>
      <c r="AH19" s="494">
        <f t="shared" ref="AH19:AH24" si="10">E19*AG19</f>
        <v>0</v>
      </c>
      <c r="AI19" s="494">
        <v>0</v>
      </c>
      <c r="AJ19" s="494">
        <f t="shared" ref="AJ19:AJ24" si="11">E19*AI19</f>
        <v>0</v>
      </c>
      <c r="AK19" s="494">
        <v>0</v>
      </c>
      <c r="AL19" s="494">
        <f t="shared" ref="AL19:AL24" si="12">E19*AK19</f>
        <v>0</v>
      </c>
      <c r="AM19" s="494">
        <f t="shared" ref="AM19:AM24" si="13">SUM(AE19,AG19,AI19,AK19)</f>
        <v>0</v>
      </c>
      <c r="AN19" s="494">
        <f t="shared" ref="AN19:AN24" si="14">E19*AM19</f>
        <v>0</v>
      </c>
      <c r="AO19" s="498">
        <f t="shared" ref="AO19:AO24" si="15">AN19*B$34</f>
        <v>0</v>
      </c>
      <c r="AP19" s="499">
        <v>0</v>
      </c>
      <c r="AQ19" s="499">
        <v>0</v>
      </c>
      <c r="AR19" s="500">
        <v>0</v>
      </c>
      <c r="AS19" s="501">
        <f t="shared" ref="AS19:AS24" si="16">E19* AR19</f>
        <v>0</v>
      </c>
      <c r="AT19" s="501">
        <v>0</v>
      </c>
      <c r="AU19" s="501">
        <f t="shared" ref="AU19:AU24" si="17">E19*AT19</f>
        <v>0</v>
      </c>
      <c r="AV19" s="501">
        <v>0</v>
      </c>
      <c r="AW19" s="501">
        <f t="shared" ref="AW19:AW24" si="18">E19*AV19</f>
        <v>0</v>
      </c>
      <c r="AX19" s="500">
        <v>0</v>
      </c>
      <c r="AY19" s="501">
        <f t="shared" ref="AY19:AY24" si="19">E19*AX19</f>
        <v>0</v>
      </c>
      <c r="AZ19" s="501">
        <f t="shared" ref="AZ19:AZ24" si="20">SUM(AR19,AT19,AV19,AX19)</f>
        <v>0</v>
      </c>
      <c r="BA19" s="501">
        <f t="shared" ref="BA19:BA24" si="21">SUM(AS19+AU19+AW19+AY19)</f>
        <v>0</v>
      </c>
      <c r="BB19" s="511">
        <f t="shared" ref="BB19:BB24" si="22">BA19*B$34</f>
        <v>0</v>
      </c>
      <c r="BC19" s="347">
        <f t="shared" ref="BC19:BD24" si="23">P19+AC19+AP19</f>
        <v>0</v>
      </c>
      <c r="BD19" s="348">
        <f t="shared" si="23"/>
        <v>0</v>
      </c>
      <c r="BE19" s="349">
        <f t="shared" ref="BE19:BE24" si="24">SUM(Z19+AM19+AZ19)</f>
        <v>0</v>
      </c>
      <c r="BF19" s="349">
        <f>SUM((AA19,AN19,BA19))</f>
        <v>0</v>
      </c>
      <c r="BG19" s="349">
        <f t="shared" ref="BG19:BG24" si="25">SUM(AB19,AO19,BB19)</f>
        <v>0</v>
      </c>
    </row>
    <row r="20" spans="1:60" ht="15" customHeight="1">
      <c r="A20" s="350">
        <v>2</v>
      </c>
      <c r="B20" s="357" t="s">
        <v>111</v>
      </c>
      <c r="C20" s="358">
        <v>28</v>
      </c>
      <c r="D20" s="358">
        <v>0</v>
      </c>
      <c r="E20" s="477">
        <v>1469.92</v>
      </c>
      <c r="F20" s="507">
        <v>198.1</v>
      </c>
      <c r="G20" s="478">
        <v>28</v>
      </c>
      <c r="H20" s="355">
        <v>0</v>
      </c>
      <c r="I20" s="419">
        <f>J20/E20</f>
        <v>138.76608203430158</v>
      </c>
      <c r="J20" s="340">
        <v>203975.03930386057</v>
      </c>
      <c r="K20" s="340">
        <f>F20-I20</f>
        <v>59.333917965698419</v>
      </c>
      <c r="L20" s="341">
        <f t="shared" si="0"/>
        <v>87216.112696139418</v>
      </c>
      <c r="M20" s="341">
        <f t="shared" si="1"/>
        <v>198.1</v>
      </c>
      <c r="N20" s="341">
        <f t="shared" si="2"/>
        <v>291191.152</v>
      </c>
      <c r="O20" s="342">
        <f>N20*$B$34</f>
        <v>2121856.3454520321</v>
      </c>
      <c r="P20" s="488">
        <v>0</v>
      </c>
      <c r="Q20" s="535">
        <v>0</v>
      </c>
      <c r="R20" s="485">
        <v>0</v>
      </c>
      <c r="S20" s="486">
        <f t="shared" si="3"/>
        <v>0</v>
      </c>
      <c r="T20" s="486">
        <v>0</v>
      </c>
      <c r="U20" s="486">
        <f t="shared" si="4"/>
        <v>0</v>
      </c>
      <c r="V20" s="536">
        <v>0</v>
      </c>
      <c r="W20" s="486">
        <f t="shared" si="5"/>
        <v>0</v>
      </c>
      <c r="X20" s="486">
        <v>0</v>
      </c>
      <c r="Y20" s="486">
        <f t="shared" si="6"/>
        <v>0</v>
      </c>
      <c r="Z20" s="486">
        <f t="shared" si="7"/>
        <v>0</v>
      </c>
      <c r="AA20" s="486">
        <f t="shared" si="8"/>
        <v>0</v>
      </c>
      <c r="AB20" s="487">
        <f>AA20*B$34</f>
        <v>0</v>
      </c>
      <c r="AC20" s="491">
        <v>0</v>
      </c>
      <c r="AD20" s="492">
        <v>0</v>
      </c>
      <c r="AE20" s="493">
        <v>0</v>
      </c>
      <c r="AF20" s="494">
        <f t="shared" si="9"/>
        <v>0</v>
      </c>
      <c r="AG20" s="494">
        <v>0</v>
      </c>
      <c r="AH20" s="494">
        <f t="shared" si="10"/>
        <v>0</v>
      </c>
      <c r="AI20" s="494">
        <v>0</v>
      </c>
      <c r="AJ20" s="494">
        <f t="shared" si="11"/>
        <v>0</v>
      </c>
      <c r="AK20" s="494">
        <v>0</v>
      </c>
      <c r="AL20" s="494">
        <f t="shared" si="12"/>
        <v>0</v>
      </c>
      <c r="AM20" s="494">
        <f t="shared" si="13"/>
        <v>0</v>
      </c>
      <c r="AN20" s="494">
        <f t="shared" si="14"/>
        <v>0</v>
      </c>
      <c r="AO20" s="498">
        <f t="shared" si="15"/>
        <v>0</v>
      </c>
      <c r="AP20" s="499">
        <v>0</v>
      </c>
      <c r="AQ20" s="499">
        <v>0</v>
      </c>
      <c r="AR20" s="500">
        <v>0</v>
      </c>
      <c r="AS20" s="501">
        <f t="shared" si="16"/>
        <v>0</v>
      </c>
      <c r="AT20" s="501">
        <v>0</v>
      </c>
      <c r="AU20" s="501">
        <f t="shared" si="17"/>
        <v>0</v>
      </c>
      <c r="AV20" s="501">
        <v>0</v>
      </c>
      <c r="AW20" s="501">
        <f t="shared" si="18"/>
        <v>0</v>
      </c>
      <c r="AX20" s="500">
        <v>0</v>
      </c>
      <c r="AY20" s="501">
        <f t="shared" si="19"/>
        <v>0</v>
      </c>
      <c r="AZ20" s="501">
        <f t="shared" si="20"/>
        <v>0</v>
      </c>
      <c r="BA20" s="501">
        <f t="shared" si="21"/>
        <v>0</v>
      </c>
      <c r="BB20" s="511">
        <f t="shared" si="22"/>
        <v>0</v>
      </c>
      <c r="BC20" s="356">
        <f t="shared" si="23"/>
        <v>0</v>
      </c>
      <c r="BD20" s="421">
        <f t="shared" si="23"/>
        <v>0</v>
      </c>
      <c r="BE20" s="422">
        <f t="shared" si="24"/>
        <v>0</v>
      </c>
      <c r="BF20" s="422">
        <f>SUM(AA20,AN20,BA20)</f>
        <v>0</v>
      </c>
      <c r="BG20" s="422">
        <f t="shared" si="25"/>
        <v>0</v>
      </c>
    </row>
    <row r="21" spans="1:60" ht="15" customHeight="1">
      <c r="A21" s="350">
        <v>3</v>
      </c>
      <c r="B21" s="357" t="s">
        <v>112</v>
      </c>
      <c r="C21" s="358">
        <v>174</v>
      </c>
      <c r="D21" s="358">
        <v>144</v>
      </c>
      <c r="E21" s="477">
        <v>13979</v>
      </c>
      <c r="F21" s="507">
        <v>198.1</v>
      </c>
      <c r="G21" s="478">
        <v>0</v>
      </c>
      <c r="H21" s="355">
        <v>0</v>
      </c>
      <c r="I21" s="419">
        <f>J21/E21</f>
        <v>0</v>
      </c>
      <c r="J21" s="340">
        <v>0</v>
      </c>
      <c r="K21" s="340">
        <v>0</v>
      </c>
      <c r="L21" s="341">
        <f t="shared" si="0"/>
        <v>0</v>
      </c>
      <c r="M21" s="341">
        <v>35</v>
      </c>
      <c r="N21" s="341">
        <f t="shared" si="2"/>
        <v>489265</v>
      </c>
      <c r="O21" s="342">
        <f>N21*$B$34</f>
        <v>3565184.0302399998</v>
      </c>
      <c r="P21" s="488">
        <v>87</v>
      </c>
      <c r="Q21" s="535">
        <v>72</v>
      </c>
      <c r="R21" s="485">
        <v>0</v>
      </c>
      <c r="S21" s="486">
        <f t="shared" si="3"/>
        <v>0</v>
      </c>
      <c r="T21" s="486">
        <v>81.55</v>
      </c>
      <c r="U21" s="486">
        <f t="shared" si="4"/>
        <v>1139987.45</v>
      </c>
      <c r="V21" s="536">
        <v>0</v>
      </c>
      <c r="W21" s="486">
        <f t="shared" si="5"/>
        <v>0</v>
      </c>
      <c r="X21" s="486">
        <v>0</v>
      </c>
      <c r="Y21" s="486">
        <f t="shared" si="6"/>
        <v>0</v>
      </c>
      <c r="Z21" s="486">
        <f t="shared" si="7"/>
        <v>81.55</v>
      </c>
      <c r="AA21" s="486">
        <f t="shared" si="8"/>
        <v>1139987.45</v>
      </c>
      <c r="AB21" s="487">
        <f>AA21*B$34</f>
        <v>8306878.7904591998</v>
      </c>
      <c r="AC21" s="563">
        <v>87</v>
      </c>
      <c r="AD21" s="564">
        <v>72</v>
      </c>
      <c r="AE21" s="493">
        <v>0</v>
      </c>
      <c r="AF21" s="494">
        <f t="shared" si="9"/>
        <v>0</v>
      </c>
      <c r="AG21" s="494">
        <v>81.55</v>
      </c>
      <c r="AH21" s="494">
        <f t="shared" si="10"/>
        <v>1139987.45</v>
      </c>
      <c r="AI21" s="494">
        <v>0</v>
      </c>
      <c r="AJ21" s="494">
        <f t="shared" si="11"/>
        <v>0</v>
      </c>
      <c r="AK21" s="494">
        <v>0</v>
      </c>
      <c r="AL21" s="494">
        <f t="shared" si="12"/>
        <v>0</v>
      </c>
      <c r="AM21" s="494">
        <f t="shared" si="13"/>
        <v>81.55</v>
      </c>
      <c r="AN21" s="494">
        <f t="shared" si="14"/>
        <v>1139987.45</v>
      </c>
      <c r="AO21" s="498">
        <f t="shared" si="15"/>
        <v>8306878.7904591998</v>
      </c>
      <c r="AP21" s="499">
        <v>0</v>
      </c>
      <c r="AQ21" s="499">
        <v>0</v>
      </c>
      <c r="AR21" s="500">
        <v>0</v>
      </c>
      <c r="AS21" s="501">
        <f t="shared" si="16"/>
        <v>0</v>
      </c>
      <c r="AT21" s="501">
        <v>0</v>
      </c>
      <c r="AU21" s="501">
        <f t="shared" si="17"/>
        <v>0</v>
      </c>
      <c r="AV21" s="501">
        <v>0</v>
      </c>
      <c r="AW21" s="501">
        <f t="shared" si="18"/>
        <v>0</v>
      </c>
      <c r="AX21" s="500">
        <v>0</v>
      </c>
      <c r="AY21" s="501">
        <f t="shared" si="19"/>
        <v>0</v>
      </c>
      <c r="AZ21" s="501">
        <f t="shared" si="20"/>
        <v>0</v>
      </c>
      <c r="BA21" s="501">
        <f t="shared" si="21"/>
        <v>0</v>
      </c>
      <c r="BB21" s="511">
        <f t="shared" si="22"/>
        <v>0</v>
      </c>
      <c r="BC21" s="356">
        <f t="shared" si="23"/>
        <v>174</v>
      </c>
      <c r="BD21" s="421">
        <f t="shared" si="23"/>
        <v>144</v>
      </c>
      <c r="BE21" s="422">
        <f t="shared" si="24"/>
        <v>163.1</v>
      </c>
      <c r="BF21" s="422">
        <f>SUM(AA21,AN21,BA21)</f>
        <v>2279974.9</v>
      </c>
      <c r="BG21" s="422">
        <f t="shared" si="25"/>
        <v>16613757.5809184</v>
      </c>
    </row>
    <row r="22" spans="1:60" ht="15" customHeight="1">
      <c r="A22" s="350">
        <v>4</v>
      </c>
      <c r="B22" s="357" t="s">
        <v>113</v>
      </c>
      <c r="C22" s="358">
        <v>330</v>
      </c>
      <c r="D22" s="358">
        <v>118</v>
      </c>
      <c r="E22" s="477">
        <v>23768</v>
      </c>
      <c r="F22" s="507">
        <v>277.33999999999997</v>
      </c>
      <c r="G22" s="478">
        <v>0</v>
      </c>
      <c r="H22" s="355">
        <v>0</v>
      </c>
      <c r="I22" s="427">
        <v>0</v>
      </c>
      <c r="J22" s="427">
        <v>0</v>
      </c>
      <c r="K22" s="427">
        <v>0</v>
      </c>
      <c r="L22" s="340">
        <f t="shared" si="0"/>
        <v>0</v>
      </c>
      <c r="M22" s="341">
        <f t="shared" si="1"/>
        <v>0</v>
      </c>
      <c r="N22" s="341">
        <f t="shared" si="2"/>
        <v>0</v>
      </c>
      <c r="O22" s="428">
        <v>0</v>
      </c>
      <c r="P22" s="488">
        <v>0</v>
      </c>
      <c r="Q22" s="535">
        <v>0</v>
      </c>
      <c r="R22" s="485">
        <v>79.239999999999995</v>
      </c>
      <c r="S22" s="486">
        <f t="shared" si="3"/>
        <v>1883376.3199999998</v>
      </c>
      <c r="T22" s="486">
        <v>0</v>
      </c>
      <c r="U22" s="486">
        <f t="shared" si="4"/>
        <v>0</v>
      </c>
      <c r="V22" s="537">
        <v>0</v>
      </c>
      <c r="W22" s="486">
        <f t="shared" si="5"/>
        <v>0</v>
      </c>
      <c r="X22" s="486">
        <v>0</v>
      </c>
      <c r="Y22" s="486">
        <f t="shared" si="6"/>
        <v>0</v>
      </c>
      <c r="Z22" s="486">
        <f t="shared" si="7"/>
        <v>79.239999999999995</v>
      </c>
      <c r="AA22" s="486">
        <f t="shared" si="8"/>
        <v>1883376.3199999998</v>
      </c>
      <c r="AB22" s="487">
        <f>AA22*B$34</f>
        <v>13723816.702597119</v>
      </c>
      <c r="AC22" s="491">
        <v>0</v>
      </c>
      <c r="AD22" s="492">
        <v>0</v>
      </c>
      <c r="AE22" s="493">
        <v>0</v>
      </c>
      <c r="AF22" s="494">
        <f t="shared" si="9"/>
        <v>0</v>
      </c>
      <c r="AG22" s="494">
        <v>0</v>
      </c>
      <c r="AH22" s="494">
        <f t="shared" si="10"/>
        <v>0</v>
      </c>
      <c r="AI22" s="494">
        <v>35</v>
      </c>
      <c r="AJ22" s="494">
        <f t="shared" si="11"/>
        <v>831880</v>
      </c>
      <c r="AK22" s="494">
        <v>0</v>
      </c>
      <c r="AL22" s="494">
        <f t="shared" si="12"/>
        <v>0</v>
      </c>
      <c r="AM22" s="494">
        <f t="shared" si="13"/>
        <v>35</v>
      </c>
      <c r="AN22" s="494">
        <f t="shared" si="14"/>
        <v>831880</v>
      </c>
      <c r="AO22" s="498">
        <f t="shared" si="15"/>
        <v>6061756.4940799996</v>
      </c>
      <c r="AP22" s="499">
        <v>110</v>
      </c>
      <c r="AQ22" s="499">
        <v>40</v>
      </c>
      <c r="AR22" s="500">
        <v>0</v>
      </c>
      <c r="AS22" s="501">
        <f t="shared" si="16"/>
        <v>0</v>
      </c>
      <c r="AT22" s="501">
        <v>54.366666666666667</v>
      </c>
      <c r="AU22" s="501">
        <f t="shared" si="17"/>
        <v>1292186.9333333333</v>
      </c>
      <c r="AV22" s="501">
        <v>0</v>
      </c>
      <c r="AW22" s="501">
        <f t="shared" si="18"/>
        <v>0</v>
      </c>
      <c r="AX22" s="500">
        <v>0</v>
      </c>
      <c r="AY22" s="501">
        <f t="shared" si="19"/>
        <v>0</v>
      </c>
      <c r="AZ22" s="501">
        <f t="shared" si="20"/>
        <v>54.366666666666667</v>
      </c>
      <c r="BA22" s="501">
        <f t="shared" si="21"/>
        <v>1292186.9333333333</v>
      </c>
      <c r="BB22" s="511">
        <f t="shared" si="22"/>
        <v>9415928.4208042659</v>
      </c>
      <c r="BC22" s="356">
        <f t="shared" si="23"/>
        <v>110</v>
      </c>
      <c r="BD22" s="421">
        <f t="shared" si="23"/>
        <v>40</v>
      </c>
      <c r="BE22" s="422">
        <f t="shared" si="24"/>
        <v>168.60666666666665</v>
      </c>
      <c r="BF22" s="422">
        <f>SUM(AA22,AN22,BA22)</f>
        <v>4007443.2533333329</v>
      </c>
      <c r="BG22" s="422">
        <f t="shared" si="25"/>
        <v>29201501.617481384</v>
      </c>
    </row>
    <row r="23" spans="1:60" ht="15" customHeight="1">
      <c r="A23" s="350">
        <v>5</v>
      </c>
      <c r="B23" s="357" t="s">
        <v>114</v>
      </c>
      <c r="C23" s="358">
        <v>143</v>
      </c>
      <c r="D23" s="358">
        <v>51</v>
      </c>
      <c r="E23" s="477">
        <v>10308</v>
      </c>
      <c r="F23" s="507">
        <v>277.33999999999997</v>
      </c>
      <c r="G23" s="478">
        <v>0</v>
      </c>
      <c r="H23" s="355">
        <v>0</v>
      </c>
      <c r="I23" s="427">
        <v>0</v>
      </c>
      <c r="J23" s="427">
        <v>0</v>
      </c>
      <c r="K23" s="427">
        <v>0</v>
      </c>
      <c r="L23" s="340">
        <f t="shared" si="0"/>
        <v>0</v>
      </c>
      <c r="M23" s="341">
        <f t="shared" si="1"/>
        <v>0</v>
      </c>
      <c r="N23" s="341">
        <f t="shared" si="2"/>
        <v>0</v>
      </c>
      <c r="O23" s="428">
        <v>0</v>
      </c>
      <c r="P23" s="488">
        <v>0</v>
      </c>
      <c r="Q23" s="535">
        <v>0</v>
      </c>
      <c r="R23" s="485">
        <v>0</v>
      </c>
      <c r="S23" s="486">
        <f t="shared" si="3"/>
        <v>0</v>
      </c>
      <c r="T23" s="486">
        <v>0</v>
      </c>
      <c r="U23" s="486">
        <f t="shared" si="4"/>
        <v>0</v>
      </c>
      <c r="V23" s="536">
        <v>0</v>
      </c>
      <c r="W23" s="486">
        <f t="shared" si="5"/>
        <v>0</v>
      </c>
      <c r="X23" s="486">
        <v>0</v>
      </c>
      <c r="Y23" s="486">
        <f t="shared" si="6"/>
        <v>0</v>
      </c>
      <c r="Z23" s="486">
        <f t="shared" si="7"/>
        <v>0</v>
      </c>
      <c r="AA23" s="486">
        <f t="shared" si="8"/>
        <v>0</v>
      </c>
      <c r="AB23" s="487">
        <f>AA23*B$34</f>
        <v>0</v>
      </c>
      <c r="AC23" s="563">
        <v>0</v>
      </c>
      <c r="AD23" s="564">
        <v>0</v>
      </c>
      <c r="AE23" s="493">
        <v>79.239999999999995</v>
      </c>
      <c r="AF23" s="494">
        <f t="shared" si="9"/>
        <v>816805.91999999993</v>
      </c>
      <c r="AG23" s="494">
        <v>0</v>
      </c>
      <c r="AH23" s="494">
        <f t="shared" si="10"/>
        <v>0</v>
      </c>
      <c r="AI23" s="494">
        <v>0</v>
      </c>
      <c r="AJ23" s="494">
        <f t="shared" si="11"/>
        <v>0</v>
      </c>
      <c r="AK23" s="494">
        <v>35</v>
      </c>
      <c r="AL23" s="494">
        <f t="shared" si="12"/>
        <v>360780</v>
      </c>
      <c r="AM23" s="494">
        <f t="shared" si="13"/>
        <v>114.24</v>
      </c>
      <c r="AN23" s="494">
        <f t="shared" si="14"/>
        <v>1177585.92</v>
      </c>
      <c r="AO23" s="498">
        <f t="shared" si="15"/>
        <v>8580851.9232307188</v>
      </c>
      <c r="AP23" s="499">
        <v>48</v>
      </c>
      <c r="AQ23" s="499">
        <v>17</v>
      </c>
      <c r="AR23" s="500">
        <v>0</v>
      </c>
      <c r="AS23" s="501">
        <f t="shared" si="16"/>
        <v>0</v>
      </c>
      <c r="AT23" s="501">
        <v>0</v>
      </c>
      <c r="AU23" s="501">
        <f t="shared" si="17"/>
        <v>0</v>
      </c>
      <c r="AV23" s="501">
        <v>54.366666666666667</v>
      </c>
      <c r="AW23" s="501">
        <f t="shared" si="18"/>
        <v>560411.6</v>
      </c>
      <c r="AX23" s="500">
        <v>0</v>
      </c>
      <c r="AY23" s="501">
        <f t="shared" si="19"/>
        <v>0</v>
      </c>
      <c r="AZ23" s="501">
        <f t="shared" si="20"/>
        <v>54.366666666666667</v>
      </c>
      <c r="BA23" s="501">
        <f t="shared" si="21"/>
        <v>560411.6</v>
      </c>
      <c r="BB23" s="511">
        <f t="shared" si="22"/>
        <v>4083616.2134655998</v>
      </c>
      <c r="BC23" s="356">
        <f t="shared" si="23"/>
        <v>48</v>
      </c>
      <c r="BD23" s="421">
        <f t="shared" si="23"/>
        <v>17</v>
      </c>
      <c r="BE23" s="422">
        <f t="shared" si="24"/>
        <v>168.60666666666665</v>
      </c>
      <c r="BF23" s="422">
        <f>SUM(AA23,AN23,BA23)</f>
        <v>1737997.52</v>
      </c>
      <c r="BG23" s="422">
        <f t="shared" si="25"/>
        <v>12664468.136696318</v>
      </c>
    </row>
    <row r="24" spans="1:60" ht="15" customHeight="1">
      <c r="A24" s="350">
        <v>6</v>
      </c>
      <c r="B24" s="357" t="s">
        <v>115</v>
      </c>
      <c r="C24" s="358">
        <v>209</v>
      </c>
      <c r="D24" s="358">
        <v>94</v>
      </c>
      <c r="E24" s="477">
        <v>15352</v>
      </c>
      <c r="F24" s="507">
        <v>277.33999999999997</v>
      </c>
      <c r="G24" s="478">
        <v>0</v>
      </c>
      <c r="H24" s="355">
        <v>0</v>
      </c>
      <c r="I24" s="427">
        <v>0</v>
      </c>
      <c r="J24" s="427">
        <v>0</v>
      </c>
      <c r="K24" s="427">
        <v>0</v>
      </c>
      <c r="L24" s="340">
        <f t="shared" si="0"/>
        <v>0</v>
      </c>
      <c r="M24" s="341">
        <f t="shared" si="1"/>
        <v>0</v>
      </c>
      <c r="N24" s="341">
        <f t="shared" si="2"/>
        <v>0</v>
      </c>
      <c r="O24" s="428">
        <v>0</v>
      </c>
      <c r="P24" s="488">
        <v>0</v>
      </c>
      <c r="Q24" s="535">
        <v>0</v>
      </c>
      <c r="R24" s="485">
        <v>79.239999999999995</v>
      </c>
      <c r="S24" s="486">
        <f t="shared" si="3"/>
        <v>1216492.48</v>
      </c>
      <c r="T24" s="486">
        <v>0</v>
      </c>
      <c r="U24" s="486">
        <f t="shared" si="4"/>
        <v>0</v>
      </c>
      <c r="V24" s="537">
        <v>0</v>
      </c>
      <c r="W24" s="486">
        <f t="shared" si="5"/>
        <v>0</v>
      </c>
      <c r="X24" s="486">
        <v>35</v>
      </c>
      <c r="Y24" s="486">
        <f t="shared" si="6"/>
        <v>537320</v>
      </c>
      <c r="Z24" s="486">
        <f t="shared" si="7"/>
        <v>114.24</v>
      </c>
      <c r="AA24" s="486">
        <f t="shared" si="8"/>
        <v>1753812.48</v>
      </c>
      <c r="AB24" s="487">
        <f>AA24*B$34</f>
        <v>12779708.84026368</v>
      </c>
      <c r="AC24" s="491">
        <v>70</v>
      </c>
      <c r="AD24" s="492">
        <v>31</v>
      </c>
      <c r="AE24" s="493">
        <v>0</v>
      </c>
      <c r="AF24" s="494">
        <f t="shared" si="9"/>
        <v>0</v>
      </c>
      <c r="AG24" s="494">
        <v>54.366666666666667</v>
      </c>
      <c r="AH24" s="494">
        <f t="shared" si="10"/>
        <v>834637.06666666665</v>
      </c>
      <c r="AI24" s="494">
        <v>0</v>
      </c>
      <c r="AJ24" s="494">
        <f t="shared" si="11"/>
        <v>0</v>
      </c>
      <c r="AK24" s="494">
        <v>0</v>
      </c>
      <c r="AL24" s="494">
        <f t="shared" si="12"/>
        <v>0</v>
      </c>
      <c r="AM24" s="494">
        <f t="shared" si="13"/>
        <v>54.366666666666667</v>
      </c>
      <c r="AN24" s="494">
        <f t="shared" si="14"/>
        <v>834637.06666666665</v>
      </c>
      <c r="AO24" s="498">
        <f t="shared" si="15"/>
        <v>6081846.7315797331</v>
      </c>
      <c r="AP24" s="499">
        <v>69</v>
      </c>
      <c r="AQ24" s="499">
        <v>31</v>
      </c>
      <c r="AR24" s="500">
        <v>0</v>
      </c>
      <c r="AS24" s="501">
        <f t="shared" si="16"/>
        <v>0</v>
      </c>
      <c r="AT24" s="501">
        <v>54.366666666666667</v>
      </c>
      <c r="AU24" s="501">
        <f t="shared" si="17"/>
        <v>834637.06666666665</v>
      </c>
      <c r="AV24" s="501">
        <v>0</v>
      </c>
      <c r="AW24" s="501">
        <f t="shared" si="18"/>
        <v>0</v>
      </c>
      <c r="AX24" s="500">
        <v>0</v>
      </c>
      <c r="AY24" s="501">
        <f t="shared" si="19"/>
        <v>0</v>
      </c>
      <c r="AZ24" s="501">
        <f t="shared" si="20"/>
        <v>54.366666666666667</v>
      </c>
      <c r="BA24" s="501">
        <f t="shared" si="21"/>
        <v>834637.06666666665</v>
      </c>
      <c r="BB24" s="511">
        <f t="shared" si="22"/>
        <v>6081846.7315797331</v>
      </c>
      <c r="BC24" s="356">
        <f t="shared" si="23"/>
        <v>139</v>
      </c>
      <c r="BD24" s="421">
        <f t="shared" si="23"/>
        <v>62</v>
      </c>
      <c r="BE24" s="422">
        <f t="shared" si="24"/>
        <v>222.97333333333333</v>
      </c>
      <c r="BF24" s="422">
        <f>SUM(AA24,AN24,BA24)</f>
        <v>3423086.6133333333</v>
      </c>
      <c r="BG24" s="422">
        <f t="shared" si="25"/>
        <v>24943402.303423144</v>
      </c>
    </row>
    <row r="25" spans="1:60" s="472" customFormat="1" ht="21.75" customHeight="1">
      <c r="A25" s="462"/>
      <c r="B25" s="463" t="s">
        <v>96</v>
      </c>
      <c r="C25" s="464">
        <f>SUM(C19:C24)</f>
        <v>944</v>
      </c>
      <c r="D25" s="464">
        <f>SUM(D19:D24)</f>
        <v>467</v>
      </c>
      <c r="E25" s="467">
        <f>SUM(E19:E24)</f>
        <v>71380.929999999993</v>
      </c>
      <c r="F25" s="508" t="s">
        <v>36</v>
      </c>
      <c r="G25" s="538">
        <f>SUM(G19:G24)</f>
        <v>88</v>
      </c>
      <c r="H25" s="465">
        <f>SUM(H19:H24)</f>
        <v>60</v>
      </c>
      <c r="I25" s="465"/>
      <c r="J25" s="465">
        <f>SUM(J19:J24)</f>
        <v>641257.65766557027</v>
      </c>
      <c r="K25" s="465"/>
      <c r="L25" s="465">
        <f>SUM(L19:L24)</f>
        <v>622107.51283760776</v>
      </c>
      <c r="M25" s="465"/>
      <c r="N25" s="465">
        <f>SUM(N19:N24)</f>
        <v>1752630.1705031781</v>
      </c>
      <c r="O25" s="467">
        <f>SUM(O19:O24)</f>
        <v>12771093.568505285</v>
      </c>
      <c r="P25" s="466">
        <f>SUM(P19:P24)</f>
        <v>87</v>
      </c>
      <c r="Q25" s="464">
        <f>SUM(Q19:Q24)</f>
        <v>72</v>
      </c>
      <c r="R25" s="465" t="s">
        <v>36</v>
      </c>
      <c r="S25" s="465">
        <f>SUM(S19:S24)</f>
        <v>3099868.8</v>
      </c>
      <c r="T25" s="465" t="s">
        <v>36</v>
      </c>
      <c r="U25" s="465">
        <f>SUM(U19:U24)</f>
        <v>1139987.45</v>
      </c>
      <c r="V25" s="465" t="s">
        <v>36</v>
      </c>
      <c r="W25" s="465">
        <f>SUM(W19:W24)</f>
        <v>0</v>
      </c>
      <c r="X25" s="465" t="s">
        <v>36</v>
      </c>
      <c r="Y25" s="465">
        <f>SUM(Y19:Y24)</f>
        <v>537320</v>
      </c>
      <c r="Z25" s="465" t="s">
        <v>36</v>
      </c>
      <c r="AA25" s="465">
        <f>SUM(AA19:AA24)</f>
        <v>4777176.25</v>
      </c>
      <c r="AB25" s="481">
        <f>SUM(AB19:AB24)</f>
        <v>34810404.333319999</v>
      </c>
      <c r="AC25" s="565">
        <f>SUM(AC19:AC24)</f>
        <v>157</v>
      </c>
      <c r="AD25" s="566">
        <f>SUM(AD19:AD24)</f>
        <v>103</v>
      </c>
      <c r="AE25" s="465" t="s">
        <v>36</v>
      </c>
      <c r="AF25" s="465">
        <f>SUM(AF19:AF24)</f>
        <v>816805.91999999993</v>
      </c>
      <c r="AG25" s="465" t="s">
        <v>36</v>
      </c>
      <c r="AH25" s="465">
        <f>SUM(AH19:AH24)</f>
        <v>1974624.5166666666</v>
      </c>
      <c r="AI25" s="465" t="s">
        <v>36</v>
      </c>
      <c r="AJ25" s="465">
        <f>SUM(AJ19:AJ24)</f>
        <v>831880</v>
      </c>
      <c r="AK25" s="465" t="s">
        <v>36</v>
      </c>
      <c r="AL25" s="465">
        <f>SUM(AL19:AL24)</f>
        <v>360780</v>
      </c>
      <c r="AM25" s="465" t="s">
        <v>36</v>
      </c>
      <c r="AN25" s="465">
        <f>SUM(AN19:AN24)</f>
        <v>3984090.4366666665</v>
      </c>
      <c r="AO25" s="481">
        <f>SUM(AO19:AO24)</f>
        <v>29031333.939349651</v>
      </c>
      <c r="AP25" s="468">
        <f>SUM(AP19:AP24)</f>
        <v>227</v>
      </c>
      <c r="AQ25" s="464">
        <f>SUM(AQ19:AQ24)</f>
        <v>88</v>
      </c>
      <c r="AR25" s="465" t="s">
        <v>36</v>
      </c>
      <c r="AS25" s="465">
        <f>SUM(AS19:AS24)</f>
        <v>0</v>
      </c>
      <c r="AT25" s="465" t="s">
        <v>36</v>
      </c>
      <c r="AU25" s="465">
        <f>SUM(AU19:AU24)</f>
        <v>2126824</v>
      </c>
      <c r="AV25" s="465" t="s">
        <v>36</v>
      </c>
      <c r="AW25" s="465">
        <f>SUM(AW19:AW24)</f>
        <v>560411.6</v>
      </c>
      <c r="AX25" s="465" t="s">
        <v>36</v>
      </c>
      <c r="AY25" s="465">
        <f>SUM(AY19:AY24)</f>
        <v>0</v>
      </c>
      <c r="AZ25" s="465" t="s">
        <v>36</v>
      </c>
      <c r="BA25" s="465">
        <f>SUM(BA19:BA24)</f>
        <v>2687235.5999999996</v>
      </c>
      <c r="BB25" s="481">
        <f>SUM(BB19:BB24)</f>
        <v>19581391.365849599</v>
      </c>
      <c r="BC25" s="469">
        <f>SUM(BC19:BC24)</f>
        <v>471</v>
      </c>
      <c r="BD25" s="470">
        <f>SUM(BD19:BD24)</f>
        <v>263</v>
      </c>
      <c r="BE25" s="471"/>
      <c r="BF25" s="471">
        <f>SUM(BF19:BF24)</f>
        <v>11448502.286666665</v>
      </c>
      <c r="BG25" s="471">
        <f>SUM(BG19:BG24)</f>
        <v>83423129.638519242</v>
      </c>
    </row>
    <row r="26" spans="1:60" ht="15" customHeight="1" thickBot="1">
      <c r="A26" s="361">
        <v>7</v>
      </c>
      <c r="B26" s="429" t="s">
        <v>116</v>
      </c>
      <c r="C26" s="430">
        <v>9</v>
      </c>
      <c r="D26" s="430">
        <v>9</v>
      </c>
      <c r="E26" s="524">
        <v>972.63</v>
      </c>
      <c r="F26" s="531">
        <v>277.33999999999997</v>
      </c>
      <c r="G26" s="527">
        <v>0</v>
      </c>
      <c r="H26" s="431">
        <v>0</v>
      </c>
      <c r="I26" s="432">
        <v>0</v>
      </c>
      <c r="J26" s="432">
        <v>0</v>
      </c>
      <c r="K26" s="432">
        <v>0</v>
      </c>
      <c r="L26" s="433">
        <f>E26*K26</f>
        <v>0</v>
      </c>
      <c r="M26" s="434">
        <f>SUM(I26+K26)</f>
        <v>0</v>
      </c>
      <c r="N26" s="434">
        <f>E26*M26</f>
        <v>0</v>
      </c>
      <c r="O26" s="435">
        <v>0</v>
      </c>
      <c r="P26" s="550">
        <v>3</v>
      </c>
      <c r="Q26" s="551">
        <v>3</v>
      </c>
      <c r="R26" s="552">
        <v>0</v>
      </c>
      <c r="S26" s="553">
        <f>E26*R26</f>
        <v>0</v>
      </c>
      <c r="T26" s="553">
        <v>0</v>
      </c>
      <c r="U26" s="553">
        <f>E26*T26</f>
        <v>0</v>
      </c>
      <c r="V26" s="553">
        <v>0</v>
      </c>
      <c r="W26" s="553">
        <f>E26*V26</f>
        <v>0</v>
      </c>
      <c r="X26" s="553">
        <v>92.446666666666658</v>
      </c>
      <c r="Y26" s="553">
        <f>E26*X26</f>
        <v>89916.401399999988</v>
      </c>
      <c r="Z26" s="553">
        <f>SUM(R26,T26,V26,X26)</f>
        <v>92.446666666666658</v>
      </c>
      <c r="AA26" s="553">
        <f>Z26*E26</f>
        <v>89916.401399999988</v>
      </c>
      <c r="AB26" s="556">
        <f>AA26*B$34</f>
        <v>655204.27238394227</v>
      </c>
      <c r="AC26" s="575">
        <v>3</v>
      </c>
      <c r="AD26" s="576">
        <v>3</v>
      </c>
      <c r="AE26" s="577">
        <v>0</v>
      </c>
      <c r="AF26" s="578">
        <f>E26*AE26</f>
        <v>0</v>
      </c>
      <c r="AG26" s="578">
        <v>0</v>
      </c>
      <c r="AH26" s="578">
        <f>E26*AG26</f>
        <v>0</v>
      </c>
      <c r="AI26" s="578">
        <v>0</v>
      </c>
      <c r="AJ26" s="578">
        <f>E26*AI26</f>
        <v>0</v>
      </c>
      <c r="AK26" s="578">
        <v>92.446666666666658</v>
      </c>
      <c r="AL26" s="578">
        <f>E26*AK26</f>
        <v>89916.401399999988</v>
      </c>
      <c r="AM26" s="578">
        <f>SUM(AE26,AG26,AI26,AK26)</f>
        <v>92.446666666666658</v>
      </c>
      <c r="AN26" s="578">
        <f>E26*AM26</f>
        <v>89916.401399999988</v>
      </c>
      <c r="AO26" s="579">
        <f>AN26*B$34</f>
        <v>655204.27238394227</v>
      </c>
      <c r="AP26" s="572">
        <v>3</v>
      </c>
      <c r="AQ26" s="580">
        <v>3</v>
      </c>
      <c r="AR26" s="573">
        <v>0</v>
      </c>
      <c r="AS26" s="574">
        <f>E26* AR26</f>
        <v>0</v>
      </c>
      <c r="AT26" s="574">
        <v>0</v>
      </c>
      <c r="AU26" s="574">
        <f>E26*AT26</f>
        <v>0</v>
      </c>
      <c r="AV26" s="574">
        <v>0</v>
      </c>
      <c r="AW26" s="574">
        <f>E26*AV26</f>
        <v>0</v>
      </c>
      <c r="AX26" s="574">
        <v>92.446666666666658</v>
      </c>
      <c r="AY26" s="574">
        <f>E26*AX26</f>
        <v>89916.401399999988</v>
      </c>
      <c r="AZ26" s="574">
        <f>SUM(AR26,AT26,AV26,AX26)</f>
        <v>92.446666666666658</v>
      </c>
      <c r="BA26" s="574">
        <f>SUM(AS26+AU26+AW26+AY26)</f>
        <v>89916.401399999988</v>
      </c>
      <c r="BB26" s="623">
        <f>BA26*B$34</f>
        <v>655204.27238394227</v>
      </c>
      <c r="BC26" s="436">
        <f>P26+AC26+AP26</f>
        <v>9</v>
      </c>
      <c r="BD26" s="437">
        <f>Q26+AD26+AQ26</f>
        <v>9</v>
      </c>
      <c r="BE26" s="438">
        <f>SUM(Z26+AM26+AZ26)</f>
        <v>277.33999999999997</v>
      </c>
      <c r="BF26" s="438">
        <f>SUM(AA26,AN26,BA26)</f>
        <v>269749.20419999998</v>
      </c>
      <c r="BG26" s="438">
        <f>SUM(AB26,AO26,BB26)</f>
        <v>1965612.8171518268</v>
      </c>
    </row>
    <row r="27" spans="1:60" s="460" customFormat="1" ht="15" hidden="1" customHeight="1" thickBot="1">
      <c r="A27" s="439"/>
      <c r="B27" s="440" t="s">
        <v>97</v>
      </c>
      <c r="C27" s="441">
        <f>SUM(C26)</f>
        <v>9</v>
      </c>
      <c r="D27" s="441">
        <f>SUM(D26)</f>
        <v>9</v>
      </c>
      <c r="E27" s="525">
        <f>SUM(E26)</f>
        <v>972.63</v>
      </c>
      <c r="F27" s="529"/>
      <c r="G27" s="528">
        <f>SUM(G26)</f>
        <v>0</v>
      </c>
      <c r="H27" s="442">
        <f>SUM(H26)</f>
        <v>0</v>
      </c>
      <c r="I27" s="443"/>
      <c r="J27" s="444">
        <f>SUM(J26)</f>
        <v>0</v>
      </c>
      <c r="K27" s="444"/>
      <c r="L27" s="444">
        <f>SUM(L26)</f>
        <v>0</v>
      </c>
      <c r="M27" s="444"/>
      <c r="N27" s="444">
        <f>SUM(N26)</f>
        <v>0</v>
      </c>
      <c r="O27" s="445">
        <f>SUM(O26)</f>
        <v>0</v>
      </c>
      <c r="P27" s="446">
        <f>SUM(P26)</f>
        <v>3</v>
      </c>
      <c r="Q27" s="447">
        <f>SUM(Q26)</f>
        <v>3</v>
      </c>
      <c r="R27" s="448"/>
      <c r="S27" s="449">
        <f>SUM(S26)</f>
        <v>0</v>
      </c>
      <c r="T27" s="448"/>
      <c r="U27" s="449">
        <f>SUM(U26)</f>
        <v>0</v>
      </c>
      <c r="V27" s="450"/>
      <c r="W27" s="449">
        <f>SUM(W26)</f>
        <v>0</v>
      </c>
      <c r="X27" s="450"/>
      <c r="Y27" s="449">
        <f>SUM(Y26)</f>
        <v>89916.401399999988</v>
      </c>
      <c r="Z27" s="451"/>
      <c r="AA27" s="449">
        <f>SUM(AA26)</f>
        <v>89916.401399999988</v>
      </c>
      <c r="AB27" s="557">
        <f>SUM(AB26)</f>
        <v>655204.27238394227</v>
      </c>
      <c r="AC27" s="452">
        <f>SUM(AC26)</f>
        <v>3</v>
      </c>
      <c r="AD27" s="449">
        <f t="shared" ref="AD27:AO27" si="26">SUM(AD26)</f>
        <v>3</v>
      </c>
      <c r="AE27" s="453"/>
      <c r="AF27" s="449">
        <f t="shared" si="26"/>
        <v>0</v>
      </c>
      <c r="AG27" s="454"/>
      <c r="AH27" s="449">
        <f t="shared" si="26"/>
        <v>0</v>
      </c>
      <c r="AI27" s="451"/>
      <c r="AJ27" s="449">
        <f t="shared" si="26"/>
        <v>0</v>
      </c>
      <c r="AK27" s="451"/>
      <c r="AL27" s="449">
        <f t="shared" si="26"/>
        <v>89916.401399999988</v>
      </c>
      <c r="AM27" s="451"/>
      <c r="AN27" s="449">
        <f t="shared" si="26"/>
        <v>89916.401399999988</v>
      </c>
      <c r="AO27" s="557">
        <f t="shared" si="26"/>
        <v>655204.27238394227</v>
      </c>
      <c r="AP27" s="452">
        <f>SUM(AP26)</f>
        <v>3</v>
      </c>
      <c r="AQ27" s="449">
        <f t="shared" ref="AQ27:AY27" si="27">SUM(AQ26)</f>
        <v>3</v>
      </c>
      <c r="AR27" s="455"/>
      <c r="AS27" s="449">
        <f t="shared" si="27"/>
        <v>0</v>
      </c>
      <c r="AT27" s="454"/>
      <c r="AU27" s="449">
        <f t="shared" si="27"/>
        <v>0</v>
      </c>
      <c r="AV27" s="451"/>
      <c r="AW27" s="449">
        <f t="shared" si="27"/>
        <v>0</v>
      </c>
      <c r="AX27" s="451"/>
      <c r="AY27" s="449">
        <f t="shared" si="27"/>
        <v>89916.401399999988</v>
      </c>
      <c r="AZ27" s="451"/>
      <c r="BA27" s="449">
        <f>SUM(BA26)</f>
        <v>89916.401399999988</v>
      </c>
      <c r="BB27" s="624">
        <f>SUM(BB26)</f>
        <v>655204.27238394227</v>
      </c>
      <c r="BC27" s="456">
        <f>P27+AC27+AP27</f>
        <v>9</v>
      </c>
      <c r="BD27" s="457">
        <f>Q27+AD27+AQ27</f>
        <v>9</v>
      </c>
      <c r="BE27" s="458"/>
      <c r="BF27" s="458">
        <f>SUM(AA27,AN27,BA27)</f>
        <v>269749.20419999998</v>
      </c>
      <c r="BG27" s="459">
        <f>SUM(BG26)</f>
        <v>1965612.8171518268</v>
      </c>
    </row>
    <row r="28" spans="1:60" s="549" customFormat="1" ht="30" customHeight="1" thickTop="1" thickBot="1">
      <c r="A28" s="554"/>
      <c r="B28" s="555" t="s">
        <v>59</v>
      </c>
      <c r="C28" s="540">
        <f>SUM(C25:C26)</f>
        <v>953</v>
      </c>
      <c r="D28" s="540">
        <f>SUM(D25:D26)</f>
        <v>476</v>
      </c>
      <c r="E28" s="541">
        <f>SUM(E25:E26)</f>
        <v>72353.56</v>
      </c>
      <c r="F28" s="542" t="s">
        <v>36</v>
      </c>
      <c r="G28" s="543">
        <f>SUM(G25:G26)</f>
        <v>88</v>
      </c>
      <c r="H28" s="544">
        <f t="shared" ref="H28:AL28" si="28">SUM(H25:H26)</f>
        <v>60</v>
      </c>
      <c r="I28" s="544"/>
      <c r="J28" s="539">
        <f t="shared" si="28"/>
        <v>641257.65766557027</v>
      </c>
      <c r="K28" s="539"/>
      <c r="L28" s="539">
        <f t="shared" si="28"/>
        <v>622107.51283760776</v>
      </c>
      <c r="M28" s="539"/>
      <c r="N28" s="539">
        <f t="shared" si="28"/>
        <v>1752630.1705031781</v>
      </c>
      <c r="O28" s="542">
        <f t="shared" si="28"/>
        <v>12771093.568505285</v>
      </c>
      <c r="P28" s="544">
        <f t="shared" si="28"/>
        <v>90</v>
      </c>
      <c r="Q28" s="540">
        <f t="shared" si="28"/>
        <v>75</v>
      </c>
      <c r="R28" s="545" t="s">
        <v>36</v>
      </c>
      <c r="S28" s="545">
        <f t="shared" si="28"/>
        <v>3099868.8</v>
      </c>
      <c r="T28" s="545" t="s">
        <v>36</v>
      </c>
      <c r="U28" s="545">
        <f t="shared" si="28"/>
        <v>1139987.45</v>
      </c>
      <c r="V28" s="545" t="s">
        <v>36</v>
      </c>
      <c r="W28" s="545">
        <f t="shared" si="28"/>
        <v>0</v>
      </c>
      <c r="X28" s="545" t="s">
        <v>36</v>
      </c>
      <c r="Y28" s="545">
        <f t="shared" si="28"/>
        <v>627236.40139999997</v>
      </c>
      <c r="Z28" s="545" t="s">
        <v>36</v>
      </c>
      <c r="AA28" s="545">
        <f t="shared" si="28"/>
        <v>4867092.6513999999</v>
      </c>
      <c r="AB28" s="558">
        <f t="shared" si="28"/>
        <v>35465608.605703942</v>
      </c>
      <c r="AC28" s="561">
        <f t="shared" si="28"/>
        <v>160</v>
      </c>
      <c r="AD28" s="562">
        <f t="shared" si="28"/>
        <v>106</v>
      </c>
      <c r="AE28" s="545" t="s">
        <v>36</v>
      </c>
      <c r="AF28" s="545">
        <f t="shared" si="28"/>
        <v>816805.91999999993</v>
      </c>
      <c r="AG28" s="545" t="s">
        <v>36</v>
      </c>
      <c r="AH28" s="545">
        <f t="shared" si="28"/>
        <v>1974624.5166666666</v>
      </c>
      <c r="AI28" s="545" t="s">
        <v>36</v>
      </c>
      <c r="AJ28" s="545">
        <f t="shared" si="28"/>
        <v>831880</v>
      </c>
      <c r="AK28" s="545" t="s">
        <v>36</v>
      </c>
      <c r="AL28" s="545">
        <f t="shared" si="28"/>
        <v>450696.40139999997</v>
      </c>
      <c r="AM28" s="545" t="s">
        <v>36</v>
      </c>
      <c r="AN28" s="545">
        <f>SUM(AN25:AN26)</f>
        <v>4074006.8380666664</v>
      </c>
      <c r="AO28" s="558">
        <f>SUM(AO25:AO26)</f>
        <v>29686538.211733595</v>
      </c>
      <c r="AP28" s="561">
        <f>SUM(AP25:AP26)</f>
        <v>230</v>
      </c>
      <c r="AQ28" s="562">
        <f>SUM(AQ25:AQ26)</f>
        <v>91</v>
      </c>
      <c r="AR28" s="545" t="s">
        <v>36</v>
      </c>
      <c r="AS28" s="545">
        <f>SUM(AS25:AS26)</f>
        <v>0</v>
      </c>
      <c r="AT28" s="545" t="s">
        <v>36</v>
      </c>
      <c r="AU28" s="545">
        <f>SUM(AU25:AU26)</f>
        <v>2126824</v>
      </c>
      <c r="AV28" s="545" t="s">
        <v>36</v>
      </c>
      <c r="AW28" s="545">
        <f>SUM(AW25:AW26)</f>
        <v>560411.6</v>
      </c>
      <c r="AX28" s="545" t="s">
        <v>36</v>
      </c>
      <c r="AY28" s="545">
        <f t="shared" ref="AY28:BD28" si="29">SUM(AY25:AY26)</f>
        <v>89916.401399999988</v>
      </c>
      <c r="AZ28" s="545" t="s">
        <v>36</v>
      </c>
      <c r="BA28" s="545">
        <f t="shared" si="29"/>
        <v>2777152.0013999995</v>
      </c>
      <c r="BB28" s="599">
        <f t="shared" si="29"/>
        <v>20236595.638233542</v>
      </c>
      <c r="BC28" s="546">
        <f t="shared" si="29"/>
        <v>480</v>
      </c>
      <c r="BD28" s="547">
        <f t="shared" si="29"/>
        <v>272</v>
      </c>
      <c r="BE28" s="548"/>
      <c r="BF28" s="548">
        <f>SUM(BF25:BF26)</f>
        <v>11718251.490866665</v>
      </c>
      <c r="BG28" s="548">
        <f>SUM(BG25:BG26)</f>
        <v>85388742.455671072</v>
      </c>
    </row>
    <row r="29" spans="1:60" ht="13.5" thickTop="1">
      <c r="B29" s="628" t="s">
        <v>138</v>
      </c>
      <c r="AB29" s="327">
        <f>AB28*0.3</f>
        <v>10639682.581711182</v>
      </c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>
        <f>AO28*0.3</f>
        <v>8905961.463520078</v>
      </c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>
        <f>BB28*0.3</f>
        <v>6070978.6914700624</v>
      </c>
    </row>
    <row r="30" spans="1:60" s="460" customFormat="1" ht="12.75" customHeight="1">
      <c r="B30" s="626" t="s">
        <v>139</v>
      </c>
      <c r="C30" s="630"/>
      <c r="I30" s="631"/>
      <c r="J30" s="631"/>
      <c r="K30" s="631"/>
      <c r="L30" s="631"/>
      <c r="M30" s="631"/>
      <c r="N30" s="631"/>
      <c r="O30" s="632"/>
      <c r="P30" s="632"/>
      <c r="Q30" s="632"/>
      <c r="Z30" s="630"/>
      <c r="AB30" s="632">
        <f>AB28-AB29</f>
        <v>24825926.023992762</v>
      </c>
      <c r="AC30" s="632"/>
      <c r="AD30" s="632"/>
      <c r="AE30" s="632"/>
      <c r="AF30" s="632"/>
      <c r="AG30" s="632"/>
      <c r="AH30" s="632"/>
      <c r="AI30" s="632"/>
      <c r="AJ30" s="632"/>
      <c r="AK30" s="632"/>
      <c r="AL30" s="632"/>
      <c r="AM30" s="632"/>
      <c r="AN30" s="632"/>
      <c r="AO30" s="632">
        <f>AO28-AO29</f>
        <v>20780576.748213515</v>
      </c>
      <c r="AP30" s="632"/>
      <c r="AQ30" s="632"/>
      <c r="AR30" s="632"/>
      <c r="AS30" s="632"/>
      <c r="AT30" s="632"/>
      <c r="AU30" s="632"/>
      <c r="AV30" s="632"/>
      <c r="AW30" s="632"/>
      <c r="AX30" s="632"/>
      <c r="AY30" s="632"/>
      <c r="AZ30" s="632"/>
      <c r="BA30" s="632"/>
      <c r="BB30" s="632">
        <f>BB28-BB29</f>
        <v>14165616.94676348</v>
      </c>
      <c r="BG30" s="632"/>
    </row>
    <row r="31" spans="1:60">
      <c r="R31" s="21"/>
      <c r="AB31" s="3"/>
      <c r="AC31" s="3"/>
      <c r="AD31" s="3"/>
    </row>
    <row r="32" spans="1:60">
      <c r="AB32" s="3"/>
      <c r="AC32" s="3"/>
      <c r="AD32" s="3"/>
      <c r="AE32" s="327"/>
      <c r="AK32" s="411"/>
      <c r="AL32" s="411"/>
      <c r="AM32" s="412" t="e">
        <f>#REF!-O25-Y25-AG25-AM25</f>
        <v>#REF!</v>
      </c>
    </row>
    <row r="33" spans="2:59" s="568" customFormat="1" ht="11.25">
      <c r="B33" s="568" t="s">
        <v>41</v>
      </c>
      <c r="C33" s="967">
        <v>7.286816</v>
      </c>
      <c r="D33" s="967"/>
      <c r="N33" s="569"/>
      <c r="O33" s="569"/>
      <c r="P33" s="569"/>
      <c r="Q33" s="569"/>
      <c r="R33" s="569"/>
      <c r="S33" s="569"/>
      <c r="X33" s="569"/>
      <c r="AK33" s="570"/>
      <c r="AL33" s="570"/>
      <c r="AM33" s="570"/>
    </row>
    <row r="34" spans="2:59" ht="15.75">
      <c r="B34" s="956">
        <v>7.286816</v>
      </c>
      <c r="C34" s="956"/>
      <c r="AK34" s="411"/>
      <c r="AL34" s="411"/>
      <c r="AM34" s="412" t="e">
        <f>AM25+AG25+O25+Y25</f>
        <v>#VALUE!</v>
      </c>
    </row>
    <row r="35" spans="2:59" ht="20.25" customHeight="1">
      <c r="AJ35" s="413"/>
      <c r="AK35" s="413"/>
      <c r="AL35" s="413"/>
      <c r="AM35" s="413"/>
      <c r="BF35" s="413" t="s">
        <v>117</v>
      </c>
      <c r="BG35" s="3"/>
    </row>
    <row r="36" spans="2:59" ht="12" customHeight="1">
      <c r="B36" s="503" t="s">
        <v>99</v>
      </c>
      <c r="C36" s="504"/>
      <c r="D36" s="504"/>
      <c r="E36" s="504"/>
      <c r="F36" s="504"/>
      <c r="AI36" s="290"/>
      <c r="AJ36" s="290"/>
      <c r="AK36" s="290"/>
      <c r="AL36" s="290"/>
      <c r="AM36" s="290"/>
    </row>
    <row r="37" spans="2:59" ht="12" customHeight="1">
      <c r="B37" s="503"/>
      <c r="C37" s="504"/>
      <c r="D37" s="504"/>
      <c r="E37" s="504"/>
      <c r="F37" s="504"/>
      <c r="AI37" s="290"/>
      <c r="AJ37" s="290"/>
      <c r="AK37" s="290"/>
      <c r="AL37" s="290"/>
      <c r="AM37" s="290"/>
    </row>
    <row r="38" spans="2:59" ht="12" customHeight="1">
      <c r="B38" s="504" t="s">
        <v>100</v>
      </c>
      <c r="C38" s="504"/>
      <c r="D38" s="504"/>
      <c r="E38" s="504"/>
      <c r="F38" s="503">
        <v>79.239999999999995</v>
      </c>
      <c r="G38" s="327"/>
      <c r="AI38" s="290"/>
      <c r="AJ38" s="290"/>
      <c r="AK38" s="290"/>
      <c r="AL38" s="290"/>
      <c r="AM38" s="290"/>
    </row>
    <row r="39" spans="2:59" ht="12" customHeight="1">
      <c r="B39" s="504" t="s">
        <v>101</v>
      </c>
      <c r="C39" s="504"/>
      <c r="D39" s="504"/>
      <c r="E39" s="504"/>
      <c r="F39" s="503">
        <v>35</v>
      </c>
      <c r="G39" s="327"/>
      <c r="J39" s="327"/>
      <c r="L39" s="327"/>
      <c r="AI39" s="290"/>
      <c r="AJ39" s="290"/>
      <c r="AK39" s="290"/>
      <c r="AL39" s="290"/>
      <c r="AM39" s="290"/>
      <c r="AX39" s="1" t="s">
        <v>118</v>
      </c>
    </row>
    <row r="40" spans="2:59">
      <c r="B40" s="504" t="s">
        <v>102</v>
      </c>
      <c r="C40" s="504"/>
      <c r="D40" s="504"/>
      <c r="E40" s="504"/>
      <c r="F40" s="503">
        <v>277.33999999999997</v>
      </c>
      <c r="G40" s="327"/>
      <c r="AQ40" s="567"/>
      <c r="AR40" s="567"/>
      <c r="AS40" s="567"/>
      <c r="AT40" s="567"/>
      <c r="AU40" s="567"/>
      <c r="AV40" s="567"/>
      <c r="AW40" s="567"/>
      <c r="AX40" s="567"/>
      <c r="AY40" s="567"/>
      <c r="AZ40" s="567"/>
      <c r="BA40" s="567"/>
      <c r="BB40" s="567"/>
    </row>
    <row r="41" spans="2:59">
      <c r="B41" s="504" t="s">
        <v>103</v>
      </c>
      <c r="C41" s="504"/>
      <c r="D41" s="504"/>
      <c r="E41" s="504"/>
      <c r="F41" s="504">
        <v>198.1</v>
      </c>
      <c r="AQ41" s="567"/>
      <c r="AR41" s="567"/>
      <c r="AS41" s="567"/>
      <c r="AT41" s="567"/>
      <c r="AU41" s="567"/>
      <c r="AV41" s="567"/>
      <c r="AW41" s="567"/>
      <c r="AX41" s="567"/>
      <c r="AY41" s="567"/>
      <c r="AZ41" s="567"/>
      <c r="BA41" s="567"/>
      <c r="BB41" s="567"/>
    </row>
    <row r="42" spans="2:59">
      <c r="B42" s="504" t="s">
        <v>119</v>
      </c>
      <c r="C42" s="504"/>
      <c r="D42" s="504"/>
      <c r="E42" s="504"/>
      <c r="F42" s="503">
        <f>F41-F39</f>
        <v>163.1</v>
      </c>
      <c r="AQ42" s="964" t="s">
        <v>130</v>
      </c>
      <c r="AR42" s="964"/>
      <c r="AS42" s="964"/>
      <c r="AT42" s="964"/>
      <c r="AU42" s="964"/>
      <c r="AV42" s="964"/>
      <c r="AW42" s="964"/>
      <c r="AX42" s="964"/>
      <c r="AY42" s="964"/>
      <c r="AZ42" s="964"/>
      <c r="BA42" s="964"/>
      <c r="BB42" s="964"/>
    </row>
    <row r="43" spans="2:59">
      <c r="AQ43" s="964"/>
      <c r="AR43" s="964"/>
      <c r="AS43" s="964"/>
      <c r="AT43" s="964"/>
      <c r="AU43" s="964"/>
      <c r="AV43" s="964"/>
      <c r="AW43" s="964"/>
      <c r="AX43" s="964"/>
      <c r="AY43" s="964"/>
      <c r="AZ43" s="964"/>
      <c r="BA43" s="964"/>
      <c r="BB43" s="964"/>
    </row>
    <row r="45" spans="2:59">
      <c r="AQ45" s="567"/>
      <c r="AR45" s="567"/>
      <c r="AS45" s="567"/>
      <c r="AT45" s="567"/>
      <c r="AU45" s="567"/>
      <c r="AV45" s="567"/>
      <c r="AW45" s="567"/>
      <c r="AX45" s="567"/>
      <c r="AY45" s="567"/>
      <c r="AZ45" s="567"/>
      <c r="BA45" s="567"/>
      <c r="BB45" s="567"/>
    </row>
    <row r="46" spans="2:59">
      <c r="AQ46" s="567"/>
      <c r="AR46" s="567"/>
      <c r="AS46" s="567"/>
      <c r="AT46" s="567"/>
      <c r="AU46" s="567"/>
      <c r="AV46" s="567"/>
      <c r="AW46" s="567"/>
      <c r="AX46" s="567"/>
      <c r="AY46" s="567"/>
      <c r="AZ46" s="567"/>
      <c r="BA46" s="567"/>
      <c r="BB46" s="567"/>
    </row>
  </sheetData>
  <mergeCells count="16">
    <mergeCell ref="BC15:BG16"/>
    <mergeCell ref="G16:O16"/>
    <mergeCell ref="P16:AB16"/>
    <mergeCell ref="AC16:AO16"/>
    <mergeCell ref="AP16:BB16"/>
    <mergeCell ref="F15:BB15"/>
    <mergeCell ref="AQ42:BB43"/>
    <mergeCell ref="A6:BB9"/>
    <mergeCell ref="B34:C34"/>
    <mergeCell ref="F16:F17"/>
    <mergeCell ref="C33:D33"/>
    <mergeCell ref="A15:A17"/>
    <mergeCell ref="B15:B17"/>
    <mergeCell ref="C15:C17"/>
    <mergeCell ref="D15:D17"/>
    <mergeCell ref="E15:E17"/>
  </mergeCells>
  <phoneticPr fontId="21" type="noConversion"/>
  <pageMargins left="0.22" right="0.15748031496062992" top="0.18" bottom="0.19685039370078741" header="0.15748031496062992" footer="0.15748031496062992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BH39"/>
  <sheetViews>
    <sheetView view="pageBreakPreview" topLeftCell="A13" zoomScaleSheetLayoutView="50" workbookViewId="0">
      <pane xSplit="15015"/>
      <selection activeCell="AB47" sqref="AB47"/>
      <selection pane="topRight" activeCell="M13" sqref="M13"/>
    </sheetView>
  </sheetViews>
  <sheetFormatPr defaultRowHeight="12.75" outlineLevelCol="1"/>
  <cols>
    <col min="1" max="1" width="5.33203125" style="1" customWidth="1"/>
    <col min="2" max="2" width="30.6640625" style="1" customWidth="1"/>
    <col min="3" max="3" width="13.5" style="1" customWidth="1"/>
    <col min="4" max="4" width="8.6640625" style="1" customWidth="1"/>
    <col min="5" max="7" width="13" style="1" hidden="1" customWidth="1" outlineLevel="1"/>
    <col min="8" max="8" width="8.83203125" style="1" hidden="1" customWidth="1" outlineLevel="1"/>
    <col min="9" max="9" width="9.83203125" style="1" hidden="1" customWidth="1" outlineLevel="1"/>
    <col min="10" max="10" width="14.6640625" style="1" hidden="1" customWidth="1" outlineLevel="1"/>
    <col min="11" max="11" width="9.5" style="1" hidden="1" customWidth="1" outlineLevel="1"/>
    <col min="12" max="12" width="15.33203125" style="1" hidden="1" customWidth="1" outlineLevel="1"/>
    <col min="13" max="13" width="9.33203125" style="1" hidden="1" customWidth="1" outlineLevel="1"/>
    <col min="14" max="14" width="14.83203125" style="1" hidden="1" customWidth="1" outlineLevel="1"/>
    <col min="15" max="15" width="18.33203125" style="1" hidden="1" customWidth="1" outlineLevel="1"/>
    <col min="16" max="16" width="10" style="1" customWidth="1" collapsed="1"/>
    <col min="17" max="17" width="10" style="1" customWidth="1"/>
    <col min="18" max="18" width="10" style="1" hidden="1" customWidth="1" outlineLevel="1"/>
    <col min="19" max="19" width="13.1640625" style="1" hidden="1" customWidth="1" outlineLevel="1"/>
    <col min="20" max="20" width="10" style="1" hidden="1" customWidth="1" outlineLevel="1"/>
    <col min="21" max="21" width="13.33203125" style="1" hidden="1" customWidth="1" outlineLevel="1"/>
    <col min="22" max="22" width="10" style="1" hidden="1" customWidth="1" outlineLevel="1"/>
    <col min="23" max="23" width="16.5" style="1" hidden="1" customWidth="1" outlineLevel="1"/>
    <col min="24" max="24" width="10" style="1" hidden="1" customWidth="1" outlineLevel="1"/>
    <col min="25" max="25" width="15" style="1" hidden="1" customWidth="1" outlineLevel="1"/>
    <col min="26" max="26" width="10" style="1" customWidth="1" collapsed="1"/>
    <col min="27" max="27" width="14.83203125" style="1" hidden="1" customWidth="1" outlineLevel="1"/>
    <col min="28" max="28" width="15.83203125" style="1" customWidth="1" collapsed="1"/>
    <col min="29" max="30" width="10.1640625" style="1" customWidth="1"/>
    <col min="31" max="31" width="10.1640625" style="1" hidden="1" customWidth="1" outlineLevel="1"/>
    <col min="32" max="32" width="14.6640625" style="1" hidden="1" customWidth="1" outlineLevel="1"/>
    <col min="33" max="33" width="10.1640625" style="1" hidden="1" customWidth="1" outlineLevel="1"/>
    <col min="34" max="34" width="14.83203125" style="1" hidden="1" customWidth="1" outlineLevel="1"/>
    <col min="35" max="38" width="10.1640625" style="1" hidden="1" customWidth="1" outlineLevel="1"/>
    <col min="39" max="39" width="10.1640625" style="1" customWidth="1" collapsed="1"/>
    <col min="40" max="40" width="20.5" style="1" hidden="1" customWidth="1" outlineLevel="1"/>
    <col min="41" max="41" width="15.83203125" style="1" customWidth="1" collapsed="1"/>
    <col min="42" max="43" width="10" style="1" customWidth="1"/>
    <col min="44" max="44" width="10" style="1" hidden="1" customWidth="1" outlineLevel="1"/>
    <col min="45" max="45" width="15.33203125" style="1" hidden="1" customWidth="1" outlineLevel="1"/>
    <col min="46" max="50" width="10" style="1" hidden="1" customWidth="1" outlineLevel="1"/>
    <col min="51" max="51" width="15.83203125" style="1" hidden="1" customWidth="1" outlineLevel="1"/>
    <col min="52" max="52" width="10" style="1" customWidth="1" collapsed="1"/>
    <col min="53" max="53" width="15.83203125" style="1" hidden="1" customWidth="1" outlineLevel="1"/>
    <col min="54" max="54" width="15.83203125" style="1" customWidth="1" collapsed="1"/>
    <col min="55" max="57" width="17.5" style="1" hidden="1" customWidth="1" outlineLevel="1"/>
    <col min="58" max="58" width="18.6640625" style="1" hidden="1" customWidth="1" outlineLevel="1"/>
    <col min="59" max="59" width="18.83203125" style="1" hidden="1" customWidth="1" outlineLevel="1"/>
    <col min="60" max="60" width="9.33203125" style="1" collapsed="1"/>
    <col min="61" max="61" width="9.33203125" style="1"/>
    <col min="62" max="62" width="22.1640625" style="1" customWidth="1"/>
    <col min="63" max="16384" width="9.33203125" style="1"/>
  </cols>
  <sheetData>
    <row r="1" spans="1:59" ht="27" customHeight="1">
      <c r="A1" s="971" t="s">
        <v>131</v>
      </c>
      <c r="B1" s="97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59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59" ht="60.75" customHeight="1">
      <c r="A3" s="974" t="s">
        <v>132</v>
      </c>
      <c r="B3" s="974"/>
      <c r="C3" s="974"/>
      <c r="D3" s="974"/>
      <c r="E3" s="974"/>
      <c r="F3" s="974"/>
      <c r="G3" s="974"/>
      <c r="H3" s="974"/>
      <c r="I3" s="974"/>
      <c r="J3" s="974"/>
      <c r="K3" s="974"/>
      <c r="L3" s="974"/>
      <c r="M3" s="974"/>
      <c r="N3" s="974"/>
      <c r="O3" s="974"/>
      <c r="P3" s="974"/>
      <c r="Q3" s="974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59" ht="12" customHeight="1">
      <c r="A4" s="606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59" ht="12" customHeight="1">
      <c r="A5" s="606"/>
      <c r="B5" s="606"/>
      <c r="C5" s="606"/>
      <c r="D5" s="606"/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  <c r="P5" s="606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59">
      <c r="A6" s="972" t="s">
        <v>134</v>
      </c>
      <c r="B6" s="973"/>
      <c r="C6" s="973"/>
      <c r="D6" s="973"/>
      <c r="E6" s="973"/>
      <c r="F6" s="973"/>
      <c r="G6" s="973"/>
      <c r="H6" s="973"/>
      <c r="I6" s="973"/>
      <c r="J6" s="973"/>
      <c r="K6" s="973"/>
      <c r="L6" s="973"/>
      <c r="M6" s="973"/>
      <c r="N6" s="973"/>
      <c r="O6" s="973"/>
      <c r="P6" s="973"/>
      <c r="Q6" s="973"/>
      <c r="R6" s="973"/>
      <c r="S6" s="973"/>
      <c r="T6" s="973"/>
      <c r="U6" s="973"/>
      <c r="V6" s="973"/>
      <c r="W6" s="973"/>
      <c r="X6" s="973"/>
      <c r="Y6" s="973"/>
      <c r="Z6" s="973"/>
      <c r="AA6" s="973"/>
      <c r="AB6" s="973"/>
      <c r="AC6" s="973"/>
      <c r="AD6" s="973"/>
      <c r="AE6" s="973"/>
      <c r="AF6" s="973"/>
      <c r="AG6" s="973"/>
      <c r="AH6" s="973"/>
      <c r="AI6" s="973"/>
      <c r="AJ6" s="973"/>
      <c r="AK6" s="973"/>
      <c r="AL6" s="973"/>
      <c r="AM6" s="973"/>
      <c r="AN6" s="973"/>
      <c r="AO6" s="973"/>
      <c r="AP6" s="973"/>
      <c r="AQ6" s="973"/>
      <c r="AR6" s="973"/>
      <c r="AS6" s="973"/>
      <c r="AT6" s="973"/>
      <c r="AU6" s="973"/>
      <c r="AV6" s="973"/>
      <c r="AW6" s="973"/>
      <c r="AX6" s="973"/>
      <c r="AY6" s="973"/>
      <c r="AZ6" s="973"/>
      <c r="BA6" s="973"/>
      <c r="BB6" s="973"/>
    </row>
    <row r="7" spans="1:59">
      <c r="A7" s="973"/>
      <c r="B7" s="973"/>
      <c r="C7" s="973"/>
      <c r="D7" s="973"/>
      <c r="E7" s="973"/>
      <c r="F7" s="973"/>
      <c r="G7" s="973"/>
      <c r="H7" s="973"/>
      <c r="I7" s="973"/>
      <c r="J7" s="973"/>
      <c r="K7" s="973"/>
      <c r="L7" s="973"/>
      <c r="M7" s="973"/>
      <c r="N7" s="973"/>
      <c r="O7" s="973"/>
      <c r="P7" s="973"/>
      <c r="Q7" s="973"/>
      <c r="R7" s="973"/>
      <c r="S7" s="973"/>
      <c r="T7" s="973"/>
      <c r="U7" s="973"/>
      <c r="V7" s="973"/>
      <c r="W7" s="973"/>
      <c r="X7" s="973"/>
      <c r="Y7" s="973"/>
      <c r="Z7" s="973"/>
      <c r="AA7" s="973"/>
      <c r="AB7" s="973"/>
      <c r="AC7" s="973"/>
      <c r="AD7" s="973"/>
      <c r="AE7" s="973"/>
      <c r="AF7" s="973"/>
      <c r="AG7" s="973"/>
      <c r="AH7" s="973"/>
      <c r="AI7" s="973"/>
      <c r="AJ7" s="973"/>
      <c r="AK7" s="973"/>
      <c r="AL7" s="973"/>
      <c r="AM7" s="973"/>
      <c r="AN7" s="973"/>
      <c r="AO7" s="973"/>
      <c r="AP7" s="973"/>
      <c r="AQ7" s="973"/>
      <c r="AR7" s="973"/>
      <c r="AS7" s="973"/>
      <c r="AT7" s="973"/>
      <c r="AU7" s="973"/>
      <c r="AV7" s="973"/>
      <c r="AW7" s="973"/>
      <c r="AX7" s="973"/>
      <c r="AY7" s="973"/>
      <c r="AZ7" s="973"/>
      <c r="BA7" s="973"/>
      <c r="BB7" s="973"/>
    </row>
    <row r="8" spans="1:59" ht="15.75" customHeight="1">
      <c r="A8" s="973"/>
      <c r="B8" s="973"/>
      <c r="C8" s="973"/>
      <c r="D8" s="973"/>
      <c r="E8" s="973"/>
      <c r="F8" s="973"/>
      <c r="G8" s="973"/>
      <c r="H8" s="973"/>
      <c r="I8" s="973"/>
      <c r="J8" s="973"/>
      <c r="K8" s="973"/>
      <c r="L8" s="973"/>
      <c r="M8" s="973"/>
      <c r="N8" s="973"/>
      <c r="O8" s="973"/>
      <c r="P8" s="973"/>
      <c r="Q8" s="973"/>
      <c r="R8" s="973"/>
      <c r="S8" s="973"/>
      <c r="T8" s="973"/>
      <c r="U8" s="973"/>
      <c r="V8" s="973"/>
      <c r="W8" s="973"/>
      <c r="X8" s="973"/>
      <c r="Y8" s="973"/>
      <c r="Z8" s="973"/>
      <c r="AA8" s="973"/>
      <c r="AB8" s="973"/>
      <c r="AC8" s="973"/>
      <c r="AD8" s="973"/>
      <c r="AE8" s="973"/>
      <c r="AF8" s="973"/>
      <c r="AG8" s="973"/>
      <c r="AH8" s="973"/>
      <c r="AI8" s="973"/>
      <c r="AJ8" s="973"/>
      <c r="AK8" s="973"/>
      <c r="AL8" s="973"/>
      <c r="AM8" s="973"/>
      <c r="AN8" s="973"/>
      <c r="AO8" s="973"/>
      <c r="AP8" s="973"/>
      <c r="AQ8" s="973"/>
      <c r="AR8" s="973"/>
      <c r="AS8" s="973"/>
      <c r="AT8" s="973"/>
      <c r="AU8" s="973"/>
      <c r="AV8" s="973"/>
      <c r="AW8" s="973"/>
      <c r="AX8" s="973"/>
      <c r="AY8" s="973"/>
      <c r="AZ8" s="973"/>
      <c r="BA8" s="973"/>
      <c r="BB8" s="973"/>
    </row>
    <row r="9" spans="1:59" ht="12.75" customHeight="1">
      <c r="A9" s="973"/>
      <c r="B9" s="973"/>
      <c r="C9" s="973"/>
      <c r="D9" s="973"/>
      <c r="E9" s="973"/>
      <c r="F9" s="973"/>
      <c r="G9" s="973"/>
      <c r="H9" s="973"/>
      <c r="I9" s="973"/>
      <c r="J9" s="973"/>
      <c r="K9" s="973"/>
      <c r="L9" s="973"/>
      <c r="M9" s="973"/>
      <c r="N9" s="973"/>
      <c r="O9" s="973"/>
      <c r="P9" s="973"/>
      <c r="Q9" s="973"/>
      <c r="R9" s="973"/>
      <c r="S9" s="973"/>
      <c r="T9" s="973"/>
      <c r="U9" s="973"/>
      <c r="V9" s="973"/>
      <c r="W9" s="973"/>
      <c r="X9" s="973"/>
      <c r="Y9" s="973"/>
      <c r="Z9" s="973"/>
      <c r="AA9" s="973"/>
      <c r="AB9" s="973"/>
      <c r="AC9" s="973"/>
      <c r="AD9" s="973"/>
      <c r="AE9" s="973"/>
      <c r="AF9" s="973"/>
      <c r="AG9" s="973"/>
      <c r="AH9" s="973"/>
      <c r="AI9" s="973"/>
      <c r="AJ9" s="973"/>
      <c r="AK9" s="973"/>
      <c r="AL9" s="973"/>
      <c r="AM9" s="973"/>
      <c r="AN9" s="973"/>
      <c r="AO9" s="973"/>
      <c r="AP9" s="973"/>
      <c r="AQ9" s="973"/>
      <c r="AR9" s="973"/>
      <c r="AS9" s="973"/>
      <c r="AT9" s="973"/>
      <c r="AU9" s="973"/>
      <c r="AV9" s="973"/>
      <c r="AW9" s="973"/>
      <c r="AX9" s="973"/>
      <c r="AY9" s="973"/>
      <c r="AZ9" s="973"/>
      <c r="BA9" s="973"/>
      <c r="BB9" s="973"/>
    </row>
    <row r="10" spans="1:59" ht="12" customHeight="1">
      <c r="A10" s="606"/>
      <c r="B10" s="606"/>
      <c r="C10" s="606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59" ht="12" customHeight="1">
      <c r="A11" s="606"/>
      <c r="B11" s="606"/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59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571"/>
      <c r="W12" s="571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59" ht="12.75" customHeight="1">
      <c r="A13" s="8"/>
      <c r="B13" s="325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571"/>
      <c r="W13" s="571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59" ht="12.75" customHeight="1">
      <c r="A14" s="10"/>
      <c r="C14" s="32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59" ht="15.75">
      <c r="B15" s="326"/>
      <c r="O15" s="3"/>
      <c r="P15" s="3"/>
      <c r="Q15" s="3"/>
      <c r="R15" s="3"/>
      <c r="S15" s="3"/>
      <c r="V15" s="327"/>
      <c r="W15" s="327"/>
      <c r="X15" s="328"/>
    </row>
    <row r="16" spans="1:59" s="12" customFormat="1" ht="30.75" customHeight="1">
      <c r="A16" s="959" t="s">
        <v>16</v>
      </c>
      <c r="B16" s="882" t="s">
        <v>123</v>
      </c>
      <c r="C16" s="905" t="s">
        <v>18</v>
      </c>
      <c r="D16" s="898" t="s">
        <v>19</v>
      </c>
      <c r="E16" s="975" t="s">
        <v>124</v>
      </c>
      <c r="F16" s="978" t="s">
        <v>1</v>
      </c>
      <c r="G16" s="969"/>
      <c r="H16" s="969"/>
      <c r="I16" s="969"/>
      <c r="J16" s="969"/>
      <c r="K16" s="969"/>
      <c r="L16" s="969"/>
      <c r="M16" s="969"/>
      <c r="N16" s="969"/>
      <c r="O16" s="969"/>
      <c r="P16" s="969"/>
      <c r="Q16" s="969"/>
      <c r="R16" s="969"/>
      <c r="S16" s="969"/>
      <c r="T16" s="969"/>
      <c r="U16" s="969"/>
      <c r="V16" s="969"/>
      <c r="W16" s="969"/>
      <c r="X16" s="969"/>
      <c r="Y16" s="969"/>
      <c r="Z16" s="969"/>
      <c r="AA16" s="969"/>
      <c r="AB16" s="969"/>
      <c r="AC16" s="969"/>
      <c r="AD16" s="969"/>
      <c r="AE16" s="969"/>
      <c r="AF16" s="969"/>
      <c r="AG16" s="969"/>
      <c r="AH16" s="969"/>
      <c r="AI16" s="969"/>
      <c r="AJ16" s="969"/>
      <c r="AK16" s="969"/>
      <c r="AL16" s="969"/>
      <c r="AM16" s="969"/>
      <c r="AN16" s="969"/>
      <c r="AO16" s="969"/>
      <c r="AP16" s="969"/>
      <c r="AQ16" s="969"/>
      <c r="AR16" s="969"/>
      <c r="AS16" s="969"/>
      <c r="AT16" s="969"/>
      <c r="AU16" s="969"/>
      <c r="AV16" s="969"/>
      <c r="AW16" s="969"/>
      <c r="AX16" s="969"/>
      <c r="AY16" s="969"/>
      <c r="AZ16" s="969"/>
      <c r="BA16" s="969"/>
      <c r="BB16" s="970"/>
      <c r="BC16" s="937" t="s">
        <v>70</v>
      </c>
      <c r="BD16" s="938"/>
      <c r="BE16" s="938"/>
      <c r="BF16" s="938"/>
      <c r="BG16" s="938"/>
    </row>
    <row r="17" spans="1:60" s="13" customFormat="1" ht="27" customHeight="1">
      <c r="A17" s="960"/>
      <c r="B17" s="883"/>
      <c r="C17" s="962"/>
      <c r="D17" s="899"/>
      <c r="E17" s="976"/>
      <c r="F17" s="957" t="s">
        <v>128</v>
      </c>
      <c r="G17" s="968" t="s">
        <v>71</v>
      </c>
      <c r="H17" s="939"/>
      <c r="I17" s="939"/>
      <c r="J17" s="939"/>
      <c r="K17" s="939"/>
      <c r="L17" s="939"/>
      <c r="M17" s="939"/>
      <c r="N17" s="939"/>
      <c r="O17" s="940"/>
      <c r="P17" s="941" t="s">
        <v>50</v>
      </c>
      <c r="Q17" s="942"/>
      <c r="R17" s="942"/>
      <c r="S17" s="942"/>
      <c r="T17" s="942"/>
      <c r="U17" s="942"/>
      <c r="V17" s="942"/>
      <c r="W17" s="942"/>
      <c r="X17" s="942"/>
      <c r="Y17" s="942"/>
      <c r="Z17" s="942"/>
      <c r="AA17" s="942"/>
      <c r="AB17" s="943"/>
      <c r="AC17" s="944" t="s">
        <v>48</v>
      </c>
      <c r="AD17" s="945"/>
      <c r="AE17" s="945"/>
      <c r="AF17" s="945"/>
      <c r="AG17" s="945"/>
      <c r="AH17" s="945"/>
      <c r="AI17" s="945"/>
      <c r="AJ17" s="945"/>
      <c r="AK17" s="945"/>
      <c r="AL17" s="945"/>
      <c r="AM17" s="945"/>
      <c r="AN17" s="945"/>
      <c r="AO17" s="946"/>
      <c r="AP17" s="947" t="s">
        <v>49</v>
      </c>
      <c r="AQ17" s="947"/>
      <c r="AR17" s="947"/>
      <c r="AS17" s="947"/>
      <c r="AT17" s="947"/>
      <c r="AU17" s="947"/>
      <c r="AV17" s="947"/>
      <c r="AW17" s="947"/>
      <c r="AX17" s="947"/>
      <c r="AY17" s="947"/>
      <c r="AZ17" s="947"/>
      <c r="BA17" s="947"/>
      <c r="BB17" s="948"/>
      <c r="BC17" s="937"/>
      <c r="BD17" s="937"/>
      <c r="BE17" s="937"/>
      <c r="BF17" s="938"/>
      <c r="BG17" s="938"/>
      <c r="BH17" s="329"/>
    </row>
    <row r="18" spans="1:60" s="13" customFormat="1" ht="49.5" customHeight="1">
      <c r="A18" s="961"/>
      <c r="B18" s="884"/>
      <c r="C18" s="963"/>
      <c r="D18" s="900"/>
      <c r="E18" s="977"/>
      <c r="F18" s="958"/>
      <c r="G18" s="330" t="s">
        <v>72</v>
      </c>
      <c r="H18" s="331" t="s">
        <v>73</v>
      </c>
      <c r="I18" s="332" t="s">
        <v>74</v>
      </c>
      <c r="J18" s="333" t="s">
        <v>75</v>
      </c>
      <c r="K18" s="333" t="s">
        <v>76</v>
      </c>
      <c r="L18" s="333" t="s">
        <v>77</v>
      </c>
      <c r="M18" s="333" t="s">
        <v>78</v>
      </c>
      <c r="N18" s="333" t="s">
        <v>104</v>
      </c>
      <c r="O18" s="334" t="s">
        <v>79</v>
      </c>
      <c r="P18" s="255" t="s">
        <v>29</v>
      </c>
      <c r="Q18" s="37" t="s">
        <v>30</v>
      </c>
      <c r="R18" s="482" t="s">
        <v>80</v>
      </c>
      <c r="S18" s="37" t="s">
        <v>81</v>
      </c>
      <c r="T18" s="37" t="s">
        <v>82</v>
      </c>
      <c r="U18" s="37" t="s">
        <v>83</v>
      </c>
      <c r="V18" s="37" t="s">
        <v>84</v>
      </c>
      <c r="W18" s="37" t="s">
        <v>85</v>
      </c>
      <c r="X18" s="37" t="s">
        <v>76</v>
      </c>
      <c r="Y18" s="37" t="s">
        <v>77</v>
      </c>
      <c r="Z18" s="37" t="s">
        <v>89</v>
      </c>
      <c r="AA18" s="37" t="s">
        <v>86</v>
      </c>
      <c r="AB18" s="38" t="s">
        <v>33</v>
      </c>
      <c r="AC18" s="490" t="s">
        <v>29</v>
      </c>
      <c r="AD18" s="216" t="s">
        <v>30</v>
      </c>
      <c r="AE18" s="273" t="s">
        <v>80</v>
      </c>
      <c r="AF18" s="216" t="s">
        <v>81</v>
      </c>
      <c r="AG18" s="216" t="s">
        <v>82</v>
      </c>
      <c r="AH18" s="216" t="s">
        <v>83</v>
      </c>
      <c r="AI18" s="216" t="s">
        <v>84</v>
      </c>
      <c r="AJ18" s="216" t="s">
        <v>85</v>
      </c>
      <c r="AK18" s="216" t="s">
        <v>76</v>
      </c>
      <c r="AL18" s="216" t="s">
        <v>77</v>
      </c>
      <c r="AM18" s="216" t="s">
        <v>127</v>
      </c>
      <c r="AN18" s="216" t="s">
        <v>87</v>
      </c>
      <c r="AO18" s="217" t="s">
        <v>33</v>
      </c>
      <c r="AP18" s="521" t="s">
        <v>29</v>
      </c>
      <c r="AQ18" s="54" t="s">
        <v>30</v>
      </c>
      <c r="AR18" s="79" t="s">
        <v>80</v>
      </c>
      <c r="AS18" s="54" t="s">
        <v>81</v>
      </c>
      <c r="AT18" s="54" t="s">
        <v>82</v>
      </c>
      <c r="AU18" s="54" t="s">
        <v>83</v>
      </c>
      <c r="AV18" s="54" t="s">
        <v>84</v>
      </c>
      <c r="AW18" s="54" t="s">
        <v>85</v>
      </c>
      <c r="AX18" s="54" t="s">
        <v>76</v>
      </c>
      <c r="AY18" s="54" t="s">
        <v>77</v>
      </c>
      <c r="AZ18" s="54" t="s">
        <v>89</v>
      </c>
      <c r="BA18" s="54" t="s">
        <v>88</v>
      </c>
      <c r="BB18" s="55" t="s">
        <v>33</v>
      </c>
      <c r="BC18" s="335" t="s">
        <v>72</v>
      </c>
      <c r="BD18" s="336" t="s">
        <v>73</v>
      </c>
      <c r="BE18" s="336" t="s">
        <v>89</v>
      </c>
      <c r="BF18" s="336" t="s">
        <v>90</v>
      </c>
      <c r="BG18" s="415" t="s">
        <v>91</v>
      </c>
    </row>
    <row r="19" spans="1:60" s="520" customFormat="1" ht="9.75" customHeight="1">
      <c r="A19" s="43">
        <v>1</v>
      </c>
      <c r="B19" s="42">
        <v>2</v>
      </c>
      <c r="C19" s="45">
        <v>3</v>
      </c>
      <c r="D19" s="4">
        <v>4</v>
      </c>
      <c r="E19" s="7">
        <v>5</v>
      </c>
      <c r="F19" s="512">
        <v>6</v>
      </c>
      <c r="G19" s="45"/>
      <c r="H19" s="4"/>
      <c r="I19" s="4"/>
      <c r="J19" s="4"/>
      <c r="K19" s="4"/>
      <c r="L19" s="45"/>
      <c r="M19" s="4"/>
      <c r="N19" s="4"/>
      <c r="O19" s="7"/>
      <c r="P19" s="81">
        <v>7</v>
      </c>
      <c r="Q19" s="4">
        <v>8</v>
      </c>
      <c r="R19" s="45"/>
      <c r="S19" s="4"/>
      <c r="T19" s="4"/>
      <c r="U19" s="4"/>
      <c r="V19" s="45"/>
      <c r="W19" s="45"/>
      <c r="X19" s="45"/>
      <c r="Y19" s="275"/>
      <c r="Z19" s="513">
        <v>9</v>
      </c>
      <c r="AA19" s="46"/>
      <c r="AB19" s="514">
        <v>10</v>
      </c>
      <c r="AC19" s="515">
        <v>11</v>
      </c>
      <c r="AD19" s="46">
        <v>12</v>
      </c>
      <c r="AE19" s="45"/>
      <c r="AF19" s="4"/>
      <c r="AG19" s="4"/>
      <c r="AH19" s="275"/>
      <c r="AI19" s="6"/>
      <c r="AJ19" s="6"/>
      <c r="AK19" s="6"/>
      <c r="AL19" s="4"/>
      <c r="AM19" s="516">
        <v>13</v>
      </c>
      <c r="AN19" s="517"/>
      <c r="AO19" s="514">
        <v>14</v>
      </c>
      <c r="AP19" s="513">
        <v>15</v>
      </c>
      <c r="AQ19" s="513">
        <v>16</v>
      </c>
      <c r="AR19" s="275"/>
      <c r="AS19" s="6"/>
      <c r="AT19" s="6"/>
      <c r="AU19" s="6"/>
      <c r="AV19" s="6"/>
      <c r="AW19" s="6"/>
      <c r="AX19" s="6"/>
      <c r="AY19" s="4"/>
      <c r="AZ19" s="46">
        <v>17</v>
      </c>
      <c r="BA19" s="516"/>
      <c r="BB19" s="514">
        <v>18</v>
      </c>
      <c r="BC19" s="518"/>
      <c r="BD19" s="512"/>
      <c r="BE19" s="519"/>
      <c r="BF19" s="519"/>
      <c r="BG19" s="519"/>
    </row>
    <row r="20" spans="1:60" ht="15" customHeight="1">
      <c r="A20" s="350">
        <v>1</v>
      </c>
      <c r="B20" s="357" t="s">
        <v>120</v>
      </c>
      <c r="C20" s="420">
        <v>64</v>
      </c>
      <c r="D20" s="358">
        <v>128</v>
      </c>
      <c r="E20" s="477">
        <v>6255.58</v>
      </c>
      <c r="F20" s="604">
        <v>277.33999999999997</v>
      </c>
      <c r="G20" s="354"/>
      <c r="H20" s="355"/>
      <c r="I20" s="419"/>
      <c r="J20" s="419"/>
      <c r="K20" s="340">
        <v>35</v>
      </c>
      <c r="L20" s="341">
        <f>E20*K20</f>
        <v>218945.3</v>
      </c>
      <c r="M20" s="341">
        <f>SUM(I20+K20)</f>
        <v>35</v>
      </c>
      <c r="N20" s="341">
        <f>E20*M20</f>
        <v>218945.3</v>
      </c>
      <c r="O20" s="428">
        <v>1595414.11</v>
      </c>
      <c r="P20" s="488">
        <v>64</v>
      </c>
      <c r="Q20" s="489">
        <v>128</v>
      </c>
      <c r="R20" s="485"/>
      <c r="S20" s="486">
        <f>E20*R20</f>
        <v>0</v>
      </c>
      <c r="T20" s="486">
        <v>79.239999999999995</v>
      </c>
      <c r="U20" s="486">
        <f>E20*T20</f>
        <v>495692.15919999994</v>
      </c>
      <c r="V20" s="536">
        <v>163.1</v>
      </c>
      <c r="W20" s="485">
        <v>1020285.09</v>
      </c>
      <c r="X20" s="486"/>
      <c r="Y20" s="486">
        <f>E20*X20</f>
        <v>0</v>
      </c>
      <c r="Z20" s="486">
        <f>SUM(R20,T20,V20,X20)</f>
        <v>242.33999999999997</v>
      </c>
      <c r="AA20" s="486">
        <f>Z20*E20</f>
        <v>1515977.2571999999</v>
      </c>
      <c r="AB20" s="487">
        <f>AA20*B$31</f>
        <v>11046647.333401075</v>
      </c>
      <c r="AC20" s="491">
        <f>C20</f>
        <v>64</v>
      </c>
      <c r="AD20" s="492">
        <f>D20</f>
        <v>128</v>
      </c>
      <c r="AE20" s="493"/>
      <c r="AF20" s="494">
        <f>E20*AE20</f>
        <v>0</v>
      </c>
      <c r="AG20" s="494"/>
      <c r="AH20" s="494">
        <f>E20*AG20</f>
        <v>0</v>
      </c>
      <c r="AI20" s="494"/>
      <c r="AJ20" s="494">
        <f>E20*AI20</f>
        <v>0</v>
      </c>
      <c r="AK20" s="494"/>
      <c r="AL20" s="494"/>
      <c r="AM20" s="494">
        <f>SUM(AE20,AG20,AI20,AK20)</f>
        <v>0</v>
      </c>
      <c r="AN20" s="494">
        <f>E20*AM20</f>
        <v>0</v>
      </c>
      <c r="AO20" s="498">
        <f>AN20*B$31</f>
        <v>0</v>
      </c>
      <c r="AP20" s="499"/>
      <c r="AQ20" s="499"/>
      <c r="AR20" s="500"/>
      <c r="AS20" s="501">
        <f>E20* AR20</f>
        <v>0</v>
      </c>
      <c r="AT20" s="501"/>
      <c r="AU20" s="501">
        <f>E20*AT20</f>
        <v>0</v>
      </c>
      <c r="AV20" s="501"/>
      <c r="AW20" s="501">
        <f>E20*AV20</f>
        <v>0</v>
      </c>
      <c r="AX20" s="501"/>
      <c r="AY20" s="501">
        <f>E20*AX20</f>
        <v>0</v>
      </c>
      <c r="AZ20" s="501"/>
      <c r="BA20" s="501">
        <f>SUM(AS20+AU20+AW20+AY20)</f>
        <v>0</v>
      </c>
      <c r="BB20" s="511">
        <f>BA20*B$31</f>
        <v>0</v>
      </c>
      <c r="BC20" s="356"/>
      <c r="BD20" s="421"/>
      <c r="BE20" s="422">
        <v>277.33999999999997</v>
      </c>
      <c r="BF20" s="422">
        <v>1515977.26</v>
      </c>
      <c r="BG20" s="422">
        <f>SUM(AB20,AO20,BB20)</f>
        <v>11046647.333401075</v>
      </c>
    </row>
    <row r="21" spans="1:60" ht="15" customHeight="1">
      <c r="A21" s="350">
        <v>2</v>
      </c>
      <c r="B21" s="357" t="s">
        <v>121</v>
      </c>
      <c r="C21" s="420">
        <v>48</v>
      </c>
      <c r="D21" s="358">
        <v>96</v>
      </c>
      <c r="E21" s="477">
        <v>4395.1099999999997</v>
      </c>
      <c r="F21" s="604">
        <v>277.33999999999997</v>
      </c>
      <c r="G21" s="354"/>
      <c r="H21" s="355"/>
      <c r="I21" s="419"/>
      <c r="J21" s="419"/>
      <c r="K21" s="340"/>
      <c r="L21" s="341">
        <f>E21*K21</f>
        <v>0</v>
      </c>
      <c r="M21" s="341">
        <f>SUM(I21+K21)</f>
        <v>0</v>
      </c>
      <c r="N21" s="341">
        <f>E21*M21</f>
        <v>0</v>
      </c>
      <c r="O21" s="428"/>
      <c r="P21" s="488">
        <v>48</v>
      </c>
      <c r="Q21" s="489">
        <v>96</v>
      </c>
      <c r="R21" s="485">
        <v>35</v>
      </c>
      <c r="S21" s="486">
        <v>153828.85</v>
      </c>
      <c r="T21" s="486"/>
      <c r="U21" s="486">
        <f>E21*T21</f>
        <v>0</v>
      </c>
      <c r="V21" s="536"/>
      <c r="W21" s="485"/>
      <c r="X21" s="486">
        <v>79.239999999999995</v>
      </c>
      <c r="Y21" s="486">
        <f>E21*X21</f>
        <v>348268.51639999996</v>
      </c>
      <c r="Z21" s="486">
        <f>SUM(R21,T21,V21,X21)</f>
        <v>114.24</v>
      </c>
      <c r="AA21" s="486">
        <f>Z21*E21</f>
        <v>502097.36639999994</v>
      </c>
      <c r="AB21" s="487">
        <f>AA21*B$31</f>
        <v>3658691.1230413821</v>
      </c>
      <c r="AC21" s="559">
        <v>48</v>
      </c>
      <c r="AD21" s="560">
        <v>96</v>
      </c>
      <c r="AE21" s="493">
        <v>163.1</v>
      </c>
      <c r="AF21" s="494">
        <f>E21*AE21</f>
        <v>716842.44099999988</v>
      </c>
      <c r="AG21" s="494"/>
      <c r="AH21" s="494">
        <f>E21*AG21</f>
        <v>0</v>
      </c>
      <c r="AI21" s="494"/>
      <c r="AJ21" s="494">
        <f>E21*AI21</f>
        <v>0</v>
      </c>
      <c r="AK21" s="494"/>
      <c r="AL21" s="494"/>
      <c r="AM21" s="494">
        <f>SUM(AE21,AG21,AI21,AK21)</f>
        <v>163.1</v>
      </c>
      <c r="AN21" s="494">
        <f>E21*AM21</f>
        <v>716842.44099999988</v>
      </c>
      <c r="AO21" s="498">
        <f>AN21*B$31</f>
        <v>5223498.9685578551</v>
      </c>
      <c r="AP21" s="499"/>
      <c r="AQ21" s="499"/>
      <c r="AR21" s="500"/>
      <c r="AS21" s="501">
        <f>E21* AR21</f>
        <v>0</v>
      </c>
      <c r="AT21" s="501"/>
      <c r="AU21" s="501">
        <f>E21*AT21</f>
        <v>0</v>
      </c>
      <c r="AV21" s="501"/>
      <c r="AW21" s="501">
        <f>E21*AV21</f>
        <v>0</v>
      </c>
      <c r="AX21" s="501"/>
      <c r="AY21" s="501">
        <f>E21*AX21</f>
        <v>0</v>
      </c>
      <c r="AZ21" s="501"/>
      <c r="BA21" s="501">
        <f>SUM(AS21+AU21+AW21+AY21)</f>
        <v>0</v>
      </c>
      <c r="BB21" s="511">
        <f>BA21*B$31</f>
        <v>0</v>
      </c>
      <c r="BC21" s="356"/>
      <c r="BD21" s="421"/>
      <c r="BE21" s="422">
        <f>SUM(Z21+AM21+AZ21)</f>
        <v>277.33999999999997</v>
      </c>
      <c r="BF21" s="422">
        <f>SUM(AA21,AN21,BA21)</f>
        <v>1218939.8073999998</v>
      </c>
      <c r="BG21" s="422">
        <f>SUM(AB21,AO21,BB21)</f>
        <v>8882190.0915992372</v>
      </c>
    </row>
    <row r="22" spans="1:60" ht="15" customHeight="1">
      <c r="A22" s="350">
        <v>3</v>
      </c>
      <c r="B22" s="423" t="s">
        <v>122</v>
      </c>
      <c r="C22" s="420">
        <v>90</v>
      </c>
      <c r="D22" s="358">
        <v>180</v>
      </c>
      <c r="E22" s="477">
        <v>6480</v>
      </c>
      <c r="F22" s="604">
        <v>277.33999999999997</v>
      </c>
      <c r="G22" s="354"/>
      <c r="H22" s="359"/>
      <c r="I22" s="424"/>
      <c r="J22" s="419"/>
      <c r="K22" s="340"/>
      <c r="L22" s="341">
        <f>E22*K22</f>
        <v>0</v>
      </c>
      <c r="M22" s="341">
        <f>SUM(I22+K22)</f>
        <v>0</v>
      </c>
      <c r="N22" s="341">
        <f>E22*M22</f>
        <v>0</v>
      </c>
      <c r="O22" s="428"/>
      <c r="P22" s="488"/>
      <c r="Q22" s="489"/>
      <c r="R22" s="485"/>
      <c r="S22" s="486">
        <f>E22*R22</f>
        <v>0</v>
      </c>
      <c r="T22" s="486"/>
      <c r="U22" s="486">
        <f>E22*T22</f>
        <v>0</v>
      </c>
      <c r="V22" s="537"/>
      <c r="W22" s="587"/>
      <c r="X22" s="486"/>
      <c r="Y22" s="486">
        <f>E22*X22</f>
        <v>0</v>
      </c>
      <c r="Z22" s="486">
        <f>SUM(R22,T22,V22,X22)</f>
        <v>0</v>
      </c>
      <c r="AA22" s="486">
        <f>Z22*E22</f>
        <v>0</v>
      </c>
      <c r="AB22" s="487">
        <f>AA22*B$31</f>
        <v>0</v>
      </c>
      <c r="AC22" s="497">
        <v>90</v>
      </c>
      <c r="AD22" s="494">
        <v>180</v>
      </c>
      <c r="AE22" s="493"/>
      <c r="AF22" s="494"/>
      <c r="AG22" s="494">
        <v>35</v>
      </c>
      <c r="AH22" s="494">
        <v>280350</v>
      </c>
      <c r="AI22" s="494"/>
      <c r="AJ22" s="494">
        <f>E22*AI22</f>
        <v>0</v>
      </c>
      <c r="AK22" s="494"/>
      <c r="AL22" s="588"/>
      <c r="AM22" s="494">
        <f>SUM(AE22,AG22,AI22,AK22)</f>
        <v>35</v>
      </c>
      <c r="AN22" s="494">
        <v>280350</v>
      </c>
      <c r="AO22" s="498">
        <f>AN22*B$31</f>
        <v>2042858.8655999999</v>
      </c>
      <c r="AP22" s="499">
        <v>90</v>
      </c>
      <c r="AQ22" s="499">
        <v>180</v>
      </c>
      <c r="AR22" s="500">
        <v>79.239999999999995</v>
      </c>
      <c r="AS22" s="501">
        <v>634712.4</v>
      </c>
      <c r="AT22" s="501"/>
      <c r="AU22" s="501">
        <f>E22*AT22</f>
        <v>0</v>
      </c>
      <c r="AV22" s="501"/>
      <c r="AW22" s="501">
        <f>E22*AV22</f>
        <v>0</v>
      </c>
      <c r="AX22" s="501">
        <v>163.1</v>
      </c>
      <c r="AY22" s="501">
        <v>1306431</v>
      </c>
      <c r="AZ22" s="501"/>
      <c r="BA22" s="501">
        <f>SUM(AS22+AU22+AW22+AY22)</f>
        <v>1941143.4</v>
      </c>
      <c r="BB22" s="511">
        <f>BA22*B$31</f>
        <v>14144754.7854144</v>
      </c>
      <c r="BC22" s="356"/>
      <c r="BD22" s="421"/>
      <c r="BE22" s="422">
        <v>277.33999999999997</v>
      </c>
      <c r="BF22" s="422">
        <f>SUM(AA22,AN22,BA22)</f>
        <v>2221493.4</v>
      </c>
      <c r="BG22" s="422">
        <f>SUM(AB22,AO22,BB22)</f>
        <v>16187613.651014399</v>
      </c>
    </row>
    <row r="23" spans="1:60" s="472" customFormat="1" ht="21.75" customHeight="1">
      <c r="A23" s="462"/>
      <c r="B23" s="463" t="s">
        <v>96</v>
      </c>
      <c r="C23" s="464">
        <f>SUM(C20:C22)</f>
        <v>202</v>
      </c>
      <c r="D23" s="464">
        <f>SUM(D20:D22)</f>
        <v>404</v>
      </c>
      <c r="E23" s="467">
        <f>SUM(E20:E22)</f>
        <v>17130.689999999999</v>
      </c>
      <c r="F23" s="509" t="s">
        <v>36</v>
      </c>
      <c r="G23" s="466"/>
      <c r="H23" s="464"/>
      <c r="I23" s="464"/>
      <c r="J23" s="464"/>
      <c r="K23" s="465">
        <f t="shared" ref="K23:Q23" si="0">SUM(K20:K22)</f>
        <v>35</v>
      </c>
      <c r="L23" s="465">
        <f t="shared" si="0"/>
        <v>218945.3</v>
      </c>
      <c r="M23" s="465">
        <f t="shared" si="0"/>
        <v>35</v>
      </c>
      <c r="N23" s="465">
        <f t="shared" si="0"/>
        <v>218945.3</v>
      </c>
      <c r="O23" s="467">
        <f t="shared" si="0"/>
        <v>1595414.11</v>
      </c>
      <c r="P23" s="466">
        <f t="shared" si="0"/>
        <v>112</v>
      </c>
      <c r="Q23" s="464">
        <f t="shared" si="0"/>
        <v>224</v>
      </c>
      <c r="R23" s="465" t="s">
        <v>36</v>
      </c>
      <c r="S23" s="465">
        <f>SUM(S20:S22)</f>
        <v>153828.85</v>
      </c>
      <c r="T23" s="465">
        <f>SUM(T20:T22)</f>
        <v>79.239999999999995</v>
      </c>
      <c r="U23" s="465">
        <f>SUM(U20:U22)</f>
        <v>495692.15919999994</v>
      </c>
      <c r="V23" s="465" t="s">
        <v>36</v>
      </c>
      <c r="W23" s="465">
        <f>SUM(W20:W22)</f>
        <v>1020285.09</v>
      </c>
      <c r="X23" s="465">
        <f>SUM(X20:X22)</f>
        <v>79.239999999999995</v>
      </c>
      <c r="Y23" s="465">
        <f>SUM(Y20:Y22)</f>
        <v>348268.51639999996</v>
      </c>
      <c r="Z23" s="465" t="s">
        <v>36</v>
      </c>
      <c r="AA23" s="465">
        <f>SUM(AA20:AA22)</f>
        <v>2018074.6235999998</v>
      </c>
      <c r="AB23" s="481">
        <f>SUM(AB20:AB22)</f>
        <v>14705338.456442457</v>
      </c>
      <c r="AC23" s="466">
        <f>SUM(AC20:AC22)</f>
        <v>202</v>
      </c>
      <c r="AD23" s="464">
        <f>SUM(AD20:AD22)</f>
        <v>404</v>
      </c>
      <c r="AE23" s="465" t="s">
        <v>36</v>
      </c>
      <c r="AF23" s="465">
        <f>SUM(AF20:AF22)</f>
        <v>716842.44099999988</v>
      </c>
      <c r="AG23" s="465" t="s">
        <v>36</v>
      </c>
      <c r="AH23" s="465">
        <f>SUM(AH20:AH22)</f>
        <v>280350</v>
      </c>
      <c r="AI23" s="465" t="s">
        <v>36</v>
      </c>
      <c r="AJ23" s="465">
        <f>SUM(AJ20:AJ22)</f>
        <v>0</v>
      </c>
      <c r="AK23" s="465" t="s">
        <v>36</v>
      </c>
      <c r="AL23" s="465"/>
      <c r="AM23" s="465" t="s">
        <v>36</v>
      </c>
      <c r="AN23" s="465">
        <f>SUM(AN20:AN22)</f>
        <v>997192.44099999988</v>
      </c>
      <c r="AO23" s="481">
        <f>SUM(AO20:AO22)</f>
        <v>7266357.8341578552</v>
      </c>
      <c r="AP23" s="468">
        <f>SUM(AP20:AP22)</f>
        <v>90</v>
      </c>
      <c r="AQ23" s="464">
        <f>SUM(AQ20:AQ22)</f>
        <v>180</v>
      </c>
      <c r="AR23" s="465"/>
      <c r="AS23" s="465">
        <f>SUM(AS20:AS22)</f>
        <v>634712.4</v>
      </c>
      <c r="AT23" s="465"/>
      <c r="AU23" s="465">
        <f>SUM(AU20:AU22)</f>
        <v>0</v>
      </c>
      <c r="AV23" s="465"/>
      <c r="AW23" s="465">
        <f>SUM(AW20:AW22)</f>
        <v>0</v>
      </c>
      <c r="AX23" s="465"/>
      <c r="AY23" s="465">
        <f>SUM(AY20:AY22)</f>
        <v>1306431</v>
      </c>
      <c r="AZ23" s="465"/>
      <c r="BA23" s="465">
        <f>SUM(BA20:BA22)</f>
        <v>1941143.4</v>
      </c>
      <c r="BB23" s="481">
        <f>SUM(BB20:BB22)</f>
        <v>14144754.7854144</v>
      </c>
      <c r="BC23" s="469">
        <f>SUM(BC20:BC22)</f>
        <v>0</v>
      </c>
      <c r="BD23" s="470">
        <f>SUM(BD20:BD22)</f>
        <v>0</v>
      </c>
      <c r="BE23" s="471"/>
      <c r="BF23" s="471">
        <f>SUM(BF20:BF22)</f>
        <v>4956410.4673999995</v>
      </c>
      <c r="BG23" s="471">
        <f>SUM(BG20:BG22)</f>
        <v>36116451.076014712</v>
      </c>
    </row>
    <row r="24" spans="1:60" ht="15" customHeight="1" thickBot="1">
      <c r="A24" s="361">
        <v>4</v>
      </c>
      <c r="B24" s="362" t="s">
        <v>97</v>
      </c>
      <c r="C24" s="363">
        <v>30</v>
      </c>
      <c r="D24" s="363">
        <v>30</v>
      </c>
      <c r="E24" s="602">
        <v>3000</v>
      </c>
      <c r="F24" s="605">
        <v>277.33999999999997</v>
      </c>
      <c r="G24" s="366">
        <v>10</v>
      </c>
      <c r="H24" s="367">
        <v>10</v>
      </c>
      <c r="I24" s="368"/>
      <c r="J24" s="369"/>
      <c r="K24" s="370"/>
      <c r="L24" s="370"/>
      <c r="M24" s="370"/>
      <c r="N24" s="370"/>
      <c r="O24" s="371"/>
      <c r="P24" s="582">
        <v>10</v>
      </c>
      <c r="Q24" s="583">
        <v>10</v>
      </c>
      <c r="R24" s="584"/>
      <c r="S24" s="585"/>
      <c r="T24" s="585"/>
      <c r="U24" s="586"/>
      <c r="V24" s="584"/>
      <c r="W24" s="584"/>
      <c r="X24" s="586"/>
      <c r="Y24" s="586"/>
      <c r="Z24" s="586">
        <v>277.33999999999997</v>
      </c>
      <c r="AA24" s="585">
        <f>Z24*1000</f>
        <v>277340</v>
      </c>
      <c r="AB24" s="603">
        <f>AA24*B31</f>
        <v>2020925.54944</v>
      </c>
      <c r="AC24" s="589">
        <v>10</v>
      </c>
      <c r="AD24" s="590">
        <v>10</v>
      </c>
      <c r="AE24" s="591"/>
      <c r="AF24" s="592"/>
      <c r="AG24" s="591"/>
      <c r="AH24" s="593"/>
      <c r="AI24" s="591"/>
      <c r="AJ24" s="593"/>
      <c r="AK24" s="591"/>
      <c r="AL24" s="593"/>
      <c r="AM24" s="593">
        <v>277.33999999999997</v>
      </c>
      <c r="AN24" s="622">
        <f>AM24*1000</f>
        <v>277340</v>
      </c>
      <c r="AO24" s="600">
        <f>AN24*B31</f>
        <v>2020925.54944</v>
      </c>
      <c r="AP24" s="580">
        <v>10</v>
      </c>
      <c r="AQ24" s="594">
        <v>10</v>
      </c>
      <c r="AR24" s="595"/>
      <c r="AS24" s="596"/>
      <c r="AT24" s="596"/>
      <c r="AU24" s="597"/>
      <c r="AV24" s="597"/>
      <c r="AW24" s="597"/>
      <c r="AX24" s="597"/>
      <c r="AY24" s="597"/>
      <c r="AZ24" s="597">
        <v>277.33999999999997</v>
      </c>
      <c r="BA24" s="596">
        <f>AZ24*1000</f>
        <v>277340</v>
      </c>
      <c r="BB24" s="598">
        <f>BA24*B31</f>
        <v>2020925.54944</v>
      </c>
      <c r="BC24" s="387">
        <f>P24+AC24+AP24</f>
        <v>30</v>
      </c>
      <c r="BD24" s="388">
        <f>Q24+AD24+AQ24</f>
        <v>30</v>
      </c>
      <c r="BE24" s="389"/>
      <c r="BF24" s="389">
        <f>SUM(AA24,AN24,BA24)</f>
        <v>832020</v>
      </c>
      <c r="BG24" s="389">
        <f>BF24*B31</f>
        <v>6062776.6483199997</v>
      </c>
    </row>
    <row r="25" spans="1:60" s="549" customFormat="1" ht="30" customHeight="1" thickTop="1" thickBot="1">
      <c r="A25" s="554"/>
      <c r="B25" s="555" t="s">
        <v>59</v>
      </c>
      <c r="C25" s="545">
        <f>SUM(C23:C24)</f>
        <v>232</v>
      </c>
      <c r="D25" s="545">
        <f>SUM(D23:D24)</f>
        <v>434</v>
      </c>
      <c r="E25" s="541">
        <f>SUM(E23:E24)</f>
        <v>20130.689999999999</v>
      </c>
      <c r="F25" s="554" t="s">
        <v>36</v>
      </c>
      <c r="G25" s="544">
        <f>SUM(G23:G24)</f>
        <v>10</v>
      </c>
      <c r="H25" s="544">
        <f t="shared" ref="H25:AJ25" si="1">SUM(H23:H24)</f>
        <v>10</v>
      </c>
      <c r="I25" s="544"/>
      <c r="J25" s="544"/>
      <c r="K25" s="539">
        <f t="shared" si="1"/>
        <v>35</v>
      </c>
      <c r="L25" s="539">
        <f t="shared" si="1"/>
        <v>218945.3</v>
      </c>
      <c r="M25" s="539">
        <f t="shared" si="1"/>
        <v>35</v>
      </c>
      <c r="N25" s="539">
        <f t="shared" si="1"/>
        <v>218945.3</v>
      </c>
      <c r="O25" s="542">
        <f t="shared" si="1"/>
        <v>1595414.11</v>
      </c>
      <c r="P25" s="581">
        <f t="shared" si="1"/>
        <v>122</v>
      </c>
      <c r="Q25" s="540">
        <f t="shared" si="1"/>
        <v>234</v>
      </c>
      <c r="R25" s="545" t="s">
        <v>36</v>
      </c>
      <c r="S25" s="545">
        <f>SUM(S23:S24)</f>
        <v>153828.85</v>
      </c>
      <c r="T25" s="545">
        <f t="shared" si="1"/>
        <v>79.239999999999995</v>
      </c>
      <c r="U25" s="545">
        <f t="shared" si="1"/>
        <v>495692.15919999994</v>
      </c>
      <c r="V25" s="545" t="s">
        <v>36</v>
      </c>
      <c r="W25" s="545">
        <f>SUM(W23:W24)</f>
        <v>1020285.09</v>
      </c>
      <c r="X25" s="545">
        <f t="shared" si="1"/>
        <v>79.239999999999995</v>
      </c>
      <c r="Y25" s="545">
        <f t="shared" si="1"/>
        <v>348268.51639999996</v>
      </c>
      <c r="Z25" s="545" t="s">
        <v>36</v>
      </c>
      <c r="AA25" s="545">
        <f t="shared" si="1"/>
        <v>2295414.6235999996</v>
      </c>
      <c r="AB25" s="558">
        <f t="shared" si="1"/>
        <v>16726264.005882457</v>
      </c>
      <c r="AC25" s="561">
        <f t="shared" si="1"/>
        <v>212</v>
      </c>
      <c r="AD25" s="562">
        <f t="shared" si="1"/>
        <v>414</v>
      </c>
      <c r="AE25" s="545" t="s">
        <v>36</v>
      </c>
      <c r="AF25" s="545">
        <f t="shared" si="1"/>
        <v>716842.44099999988</v>
      </c>
      <c r="AG25" s="545" t="s">
        <v>36</v>
      </c>
      <c r="AH25" s="545"/>
      <c r="AI25" s="545" t="s">
        <v>36</v>
      </c>
      <c r="AJ25" s="545">
        <f t="shared" si="1"/>
        <v>0</v>
      </c>
      <c r="AK25" s="545" t="s">
        <v>36</v>
      </c>
      <c r="AL25" s="545"/>
      <c r="AM25" s="545" t="s">
        <v>36</v>
      </c>
      <c r="AN25" s="545">
        <f>SUM(AN23:AN24)</f>
        <v>1274532.4409999999</v>
      </c>
      <c r="AO25" s="558">
        <f>SUM(AO23:AO24)</f>
        <v>9287283.3835978545</v>
      </c>
      <c r="AP25" s="561">
        <f>SUM(AP23:AP24)</f>
        <v>100</v>
      </c>
      <c r="AQ25" s="562">
        <f>SUM(AQ23:AQ24)</f>
        <v>190</v>
      </c>
      <c r="AR25" s="545"/>
      <c r="AS25" s="545">
        <f>SUM(AS23:AS24)</f>
        <v>634712.4</v>
      </c>
      <c r="AT25" s="545"/>
      <c r="AU25" s="545">
        <f>SUM(AU23:AU24)</f>
        <v>0</v>
      </c>
      <c r="AV25" s="545"/>
      <c r="AW25" s="545">
        <f>SUM(AW23:AW24)</f>
        <v>0</v>
      </c>
      <c r="AX25" s="545"/>
      <c r="AY25" s="545">
        <f t="shared" ref="AY25:BD25" si="2">SUM(AY23:AY24)</f>
        <v>1306431</v>
      </c>
      <c r="AZ25" s="545">
        <f t="shared" si="2"/>
        <v>277.33999999999997</v>
      </c>
      <c r="BA25" s="545">
        <f t="shared" si="2"/>
        <v>2218483.4</v>
      </c>
      <c r="BB25" s="599">
        <f t="shared" si="2"/>
        <v>16165680.3348544</v>
      </c>
      <c r="BC25" s="546">
        <f t="shared" si="2"/>
        <v>30</v>
      </c>
      <c r="BD25" s="547">
        <f t="shared" si="2"/>
        <v>30</v>
      </c>
      <c r="BE25" s="548"/>
      <c r="BF25" s="548">
        <f>SUM(BF23:BF24)</f>
        <v>5788430.4673999995</v>
      </c>
      <c r="BG25" s="548">
        <f>SUM(BG23:BG24)</f>
        <v>42179227.724334709</v>
      </c>
    </row>
    <row r="26" spans="1:60" ht="13.5" thickTop="1">
      <c r="B26" s="628" t="s">
        <v>138</v>
      </c>
      <c r="AB26" s="327">
        <f>AB25*0.3</f>
        <v>5017879.2017647373</v>
      </c>
      <c r="AO26" s="327">
        <f>AO25*0.3</f>
        <v>2786185.0150793563</v>
      </c>
      <c r="BB26" s="327">
        <f>BB25*0.3</f>
        <v>4849704.1004563197</v>
      </c>
    </row>
    <row r="27" spans="1:60" ht="12.75" customHeight="1">
      <c r="B27" s="626" t="s">
        <v>139</v>
      </c>
      <c r="C27" s="21"/>
      <c r="I27" s="410"/>
      <c r="J27" s="410"/>
      <c r="K27" s="410"/>
      <c r="L27" s="410"/>
      <c r="M27" s="410"/>
      <c r="N27" s="410"/>
      <c r="O27" s="327"/>
      <c r="P27" s="327"/>
      <c r="Q27" s="327"/>
      <c r="Z27" s="21"/>
      <c r="AB27" s="632">
        <f>AB25-AB26</f>
        <v>11708384.804117721</v>
      </c>
      <c r="AO27" s="632">
        <f>AO25-AO26</f>
        <v>6501098.3685184978</v>
      </c>
      <c r="BB27" s="632">
        <f>BB25-BB26</f>
        <v>11315976.23439808</v>
      </c>
      <c r="BG27" s="327"/>
    </row>
    <row r="28" spans="1:60">
      <c r="R28" s="21"/>
      <c r="AB28" s="3"/>
      <c r="AC28" s="3"/>
      <c r="AD28" s="3"/>
    </row>
    <row r="29" spans="1:60">
      <c r="AB29" s="3"/>
      <c r="AC29" s="3"/>
      <c r="AD29" s="3"/>
      <c r="AE29" s="327"/>
      <c r="AK29" s="411"/>
      <c r="AL29" s="411"/>
      <c r="AM29" s="412" t="e">
        <f>#REF!-O23-Y23-AG23-AM23</f>
        <v>#REF!</v>
      </c>
    </row>
    <row r="30" spans="1:60" s="568" customFormat="1" ht="11.25">
      <c r="B30" s="568" t="s">
        <v>41</v>
      </c>
      <c r="C30" s="967">
        <v>7.286816</v>
      </c>
      <c r="D30" s="967"/>
      <c r="N30" s="569"/>
      <c r="O30" s="569"/>
      <c r="P30" s="569"/>
      <c r="Q30" s="569"/>
      <c r="R30" s="569"/>
      <c r="S30" s="569"/>
      <c r="X30" s="569"/>
      <c r="AK30" s="570"/>
      <c r="AL30" s="570"/>
      <c r="AM30" s="570"/>
    </row>
    <row r="31" spans="1:60" ht="15.75">
      <c r="B31" s="956">
        <v>7.286816</v>
      </c>
      <c r="C31" s="956"/>
      <c r="AK31" s="411"/>
      <c r="AL31" s="411"/>
      <c r="AM31" s="412" t="e">
        <f>AM23+AG23+O23+Y23</f>
        <v>#VALUE!</v>
      </c>
    </row>
    <row r="32" spans="1:60" ht="20.25" customHeight="1">
      <c r="AJ32" s="413"/>
      <c r="AK32" s="413"/>
      <c r="AL32" s="413"/>
      <c r="AM32" s="413"/>
      <c r="BF32" s="413" t="s">
        <v>98</v>
      </c>
      <c r="BG32" s="3"/>
    </row>
    <row r="33" spans="2:54" ht="12" customHeight="1">
      <c r="B33" s="503" t="s">
        <v>99</v>
      </c>
      <c r="C33" s="504"/>
      <c r="D33" s="504"/>
      <c r="E33" s="504"/>
      <c r="F33" s="504"/>
      <c r="G33" s="504"/>
      <c r="H33" s="504"/>
      <c r="I33" s="504"/>
      <c r="J33" s="504"/>
      <c r="K33" s="504"/>
      <c r="L33" s="504"/>
      <c r="M33" s="504"/>
      <c r="N33" s="504"/>
      <c r="O33" s="504"/>
      <c r="P33" s="504"/>
      <c r="Q33" s="504"/>
      <c r="AI33" s="290"/>
      <c r="AJ33" s="290"/>
      <c r="AK33" s="290"/>
      <c r="AL33" s="290"/>
      <c r="AM33" s="290"/>
      <c r="AQ33" s="952" t="s">
        <v>62</v>
      </c>
      <c r="AR33" s="952"/>
      <c r="AS33" s="952"/>
      <c r="AT33" s="952"/>
      <c r="AU33" s="952"/>
      <c r="AV33" s="952"/>
      <c r="AW33" s="952"/>
      <c r="AX33" s="952"/>
      <c r="AY33" s="952"/>
      <c r="AZ33" s="952"/>
      <c r="BA33" s="952"/>
      <c r="BB33" s="952"/>
    </row>
    <row r="34" spans="2:54" ht="12" customHeight="1">
      <c r="B34" s="503"/>
      <c r="C34" s="504"/>
      <c r="D34" s="504"/>
      <c r="E34" s="504"/>
      <c r="F34" s="504"/>
      <c r="G34" s="504"/>
      <c r="H34" s="504"/>
      <c r="I34" s="504"/>
      <c r="J34" s="504"/>
      <c r="K34" s="504"/>
      <c r="L34" s="504"/>
      <c r="M34" s="504"/>
      <c r="N34" s="504"/>
      <c r="O34" s="504"/>
      <c r="P34" s="504"/>
      <c r="Q34" s="504"/>
      <c r="AI34" s="290"/>
      <c r="AJ34" s="290"/>
      <c r="AK34" s="290"/>
      <c r="AL34" s="290"/>
      <c r="AM34" s="290"/>
      <c r="AQ34" s="952"/>
      <c r="AR34" s="952"/>
      <c r="AS34" s="952"/>
      <c r="AT34" s="952"/>
      <c r="AU34" s="952"/>
      <c r="AV34" s="952"/>
      <c r="AW34" s="952"/>
      <c r="AX34" s="952"/>
      <c r="AY34" s="952"/>
      <c r="AZ34" s="952"/>
      <c r="BA34" s="952"/>
      <c r="BB34" s="952"/>
    </row>
    <row r="35" spans="2:54" ht="12" customHeight="1">
      <c r="B35" s="504" t="s">
        <v>100</v>
      </c>
      <c r="C35" s="504"/>
      <c r="D35" s="504"/>
      <c r="E35" s="504"/>
      <c r="F35" s="503">
        <v>79.239999999999995</v>
      </c>
      <c r="G35" s="503"/>
      <c r="H35" s="504" t="s">
        <v>89</v>
      </c>
      <c r="I35" s="504"/>
      <c r="J35" s="504"/>
      <c r="K35" s="504"/>
      <c r="L35" s="504"/>
      <c r="M35" s="504"/>
      <c r="N35" s="504"/>
      <c r="O35" s="504"/>
      <c r="P35" s="504"/>
      <c r="Q35" s="504"/>
      <c r="AI35" s="290"/>
      <c r="AJ35" s="290"/>
      <c r="AK35" s="290"/>
      <c r="AL35" s="290"/>
      <c r="AM35" s="290"/>
    </row>
    <row r="36" spans="2:54" ht="12" customHeight="1">
      <c r="B36" s="504" t="s">
        <v>101</v>
      </c>
      <c r="C36" s="504"/>
      <c r="D36" s="504"/>
      <c r="E36" s="504"/>
      <c r="F36" s="503">
        <v>35</v>
      </c>
      <c r="G36" s="503"/>
      <c r="H36" s="504" t="s">
        <v>89</v>
      </c>
      <c r="I36" s="504"/>
      <c r="J36" s="504"/>
      <c r="K36" s="504"/>
      <c r="L36" s="504"/>
      <c r="M36" s="504"/>
      <c r="N36" s="504"/>
      <c r="O36" s="504"/>
      <c r="P36" s="504"/>
      <c r="Q36" s="504"/>
      <c r="AI36" s="290"/>
      <c r="AJ36" s="290"/>
      <c r="AK36" s="290"/>
      <c r="AL36" s="290"/>
      <c r="AM36" s="290"/>
    </row>
    <row r="37" spans="2:54">
      <c r="B37" s="504" t="s">
        <v>102</v>
      </c>
      <c r="C37" s="504"/>
      <c r="D37" s="504"/>
      <c r="E37" s="504"/>
      <c r="F37" s="503">
        <v>277.33999999999997</v>
      </c>
      <c r="G37" s="503"/>
      <c r="H37" s="504" t="s">
        <v>89</v>
      </c>
      <c r="I37" s="504"/>
      <c r="J37" s="504"/>
      <c r="K37" s="504"/>
      <c r="L37" s="504"/>
      <c r="M37" s="504"/>
      <c r="N37" s="504"/>
      <c r="O37" s="504"/>
      <c r="P37" s="504"/>
      <c r="Q37" s="504"/>
    </row>
    <row r="38" spans="2:54">
      <c r="B38" s="504" t="s">
        <v>103</v>
      </c>
      <c r="C38" s="504"/>
      <c r="D38" s="504"/>
      <c r="E38" s="504"/>
      <c r="F38" s="504">
        <v>198.1</v>
      </c>
      <c r="G38" s="504"/>
      <c r="H38" s="504" t="s">
        <v>89</v>
      </c>
      <c r="I38" s="504"/>
      <c r="J38" s="504"/>
      <c r="K38" s="504"/>
      <c r="L38" s="504"/>
      <c r="M38" s="504"/>
      <c r="N38" s="504"/>
      <c r="O38" s="504"/>
      <c r="P38" s="504"/>
      <c r="Q38" s="504"/>
    </row>
    <row r="39" spans="2:54">
      <c r="B39" s="504"/>
      <c r="C39" s="504"/>
      <c r="D39" s="504"/>
      <c r="E39" s="504"/>
      <c r="F39" s="504"/>
      <c r="G39" s="504"/>
      <c r="H39" s="504"/>
      <c r="I39" s="504"/>
      <c r="J39" s="504"/>
      <c r="K39" s="504"/>
      <c r="L39" s="504"/>
      <c r="M39" s="504"/>
      <c r="N39" s="504"/>
      <c r="O39" s="504"/>
      <c r="P39" s="504"/>
      <c r="Q39" s="504"/>
    </row>
  </sheetData>
  <mergeCells count="18">
    <mergeCell ref="D16:D18"/>
    <mergeCell ref="E16:E18"/>
    <mergeCell ref="BC16:BG17"/>
    <mergeCell ref="G17:O17"/>
    <mergeCell ref="P17:AB17"/>
    <mergeCell ref="AC17:AO17"/>
    <mergeCell ref="AP17:BB17"/>
    <mergeCell ref="F16:BB16"/>
    <mergeCell ref="A1:B1"/>
    <mergeCell ref="A6:BB9"/>
    <mergeCell ref="AQ33:BB34"/>
    <mergeCell ref="A3:Q3"/>
    <mergeCell ref="B31:C31"/>
    <mergeCell ref="F17:F18"/>
    <mergeCell ref="C30:D30"/>
    <mergeCell ref="A16:A18"/>
    <mergeCell ref="B16:B18"/>
    <mergeCell ref="C16:C18"/>
  </mergeCells>
  <phoneticPr fontId="21" type="noConversion"/>
  <pageMargins left="0.36" right="0.15748031496062992" top="0.27559055118110237" bottom="0.19685039370078741" header="0.15748031496062992" footer="0.15748031496062992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H39"/>
  <sheetViews>
    <sheetView view="pageBreakPreview" topLeftCell="A10" zoomScaleSheetLayoutView="100" workbookViewId="0">
      <selection activeCell="AO15" sqref="AO15"/>
    </sheetView>
  </sheetViews>
  <sheetFormatPr defaultRowHeight="12.75" outlineLevelCol="1"/>
  <cols>
    <col min="1" max="1" width="5.33203125" style="1" customWidth="1"/>
    <col min="2" max="2" width="26.6640625" style="1" customWidth="1"/>
    <col min="3" max="3" width="13.6640625" style="1" customWidth="1"/>
    <col min="4" max="4" width="8.6640625" style="1" customWidth="1"/>
    <col min="5" max="5" width="13" style="1" customWidth="1"/>
    <col min="6" max="6" width="12.1640625" style="1" customWidth="1"/>
    <col min="7" max="7" width="13" style="1" hidden="1" customWidth="1" outlineLevel="1"/>
    <col min="8" max="8" width="8.83203125" style="1" hidden="1" customWidth="1" outlineLevel="1"/>
    <col min="9" max="9" width="9.83203125" style="1" hidden="1" customWidth="1" outlineLevel="1"/>
    <col min="10" max="10" width="14.6640625" style="1" hidden="1" customWidth="1" outlineLevel="1"/>
    <col min="11" max="11" width="9.5" style="1" hidden="1" customWidth="1" outlineLevel="1"/>
    <col min="12" max="12" width="15.33203125" style="1" hidden="1" customWidth="1" outlineLevel="1"/>
    <col min="13" max="13" width="9.33203125" style="1" hidden="1" customWidth="1" outlineLevel="1"/>
    <col min="14" max="14" width="14.83203125" style="1" hidden="1" customWidth="1" outlineLevel="1"/>
    <col min="15" max="15" width="18.33203125" style="1" hidden="1" customWidth="1" outlineLevel="1"/>
    <col min="16" max="16" width="10" style="1" customWidth="1" collapsed="1"/>
    <col min="17" max="17" width="10" style="1" customWidth="1"/>
    <col min="18" max="22" width="10" style="1" hidden="1" customWidth="1" outlineLevel="1"/>
    <col min="23" max="23" width="13.5" style="1" hidden="1" customWidth="1" outlineLevel="1"/>
    <col min="24" max="24" width="10" style="1" hidden="1" customWidth="1" outlineLevel="1"/>
    <col min="25" max="25" width="13.6640625" style="1" hidden="1" customWidth="1" outlineLevel="1"/>
    <col min="26" max="26" width="10" style="1" customWidth="1" collapsed="1"/>
    <col min="27" max="27" width="19" style="1" hidden="1" customWidth="1" outlineLevel="1"/>
    <col min="28" max="28" width="15.83203125" style="1" customWidth="1" collapsed="1"/>
    <col min="29" max="29" width="11" style="1" customWidth="1"/>
    <col min="30" max="30" width="7.5" style="1" customWidth="1"/>
    <col min="31" max="31" width="10" style="1" hidden="1" customWidth="1" outlineLevel="1"/>
    <col min="32" max="32" width="14.1640625" style="1" hidden="1" customWidth="1" outlineLevel="1"/>
    <col min="33" max="38" width="10" style="1" hidden="1" customWidth="1" outlineLevel="1"/>
    <col min="39" max="39" width="10" style="1" customWidth="1" collapsed="1"/>
    <col min="40" max="40" width="14.1640625" style="1" hidden="1" customWidth="1" outlineLevel="1"/>
    <col min="41" max="41" width="15.83203125" style="1" customWidth="1" collapsed="1"/>
    <col min="42" max="43" width="10" style="1" customWidth="1"/>
    <col min="44" max="44" width="10" style="1" hidden="1" customWidth="1" outlineLevel="1"/>
    <col min="45" max="45" width="14.5" style="1" hidden="1" customWidth="1" outlineLevel="1"/>
    <col min="46" max="48" width="10" style="1" hidden="1" customWidth="1" outlineLevel="1"/>
    <col min="49" max="49" width="14.5" style="1" hidden="1" customWidth="1" outlineLevel="1"/>
    <col min="50" max="51" width="10" style="1" hidden="1" customWidth="1" outlineLevel="1"/>
    <col min="52" max="52" width="10" style="1" customWidth="1" collapsed="1"/>
    <col min="53" max="53" width="13.5" style="1" hidden="1" customWidth="1" outlineLevel="1"/>
    <col min="54" max="54" width="15.83203125" style="1" customWidth="1" collapsed="1"/>
    <col min="55" max="57" width="17.5" style="1" hidden="1" customWidth="1" outlineLevel="1"/>
    <col min="58" max="58" width="18.6640625" style="1" hidden="1" customWidth="1" outlineLevel="1"/>
    <col min="59" max="59" width="18.83203125" style="1" hidden="1" customWidth="1" outlineLevel="1"/>
    <col min="60" max="60" width="9.33203125" style="1" collapsed="1"/>
    <col min="61" max="61" width="9.33203125" style="1"/>
    <col min="62" max="62" width="22.1640625" style="1" customWidth="1"/>
    <col min="63" max="16384" width="9.33203125" style="1"/>
  </cols>
  <sheetData>
    <row r="1" spans="1:60" ht="45.75" customHeight="1">
      <c r="A1" s="979" t="s">
        <v>135</v>
      </c>
      <c r="B1" s="98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60" s="9" customFormat="1" ht="53.25" customHeight="1">
      <c r="A2" s="981" t="s">
        <v>136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/>
    </row>
    <row r="3" spans="1:60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60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60">
      <c r="A5" s="972" t="s">
        <v>137</v>
      </c>
      <c r="B5" s="973"/>
      <c r="C5" s="973"/>
      <c r="D5" s="973"/>
      <c r="E5" s="973"/>
      <c r="F5" s="973"/>
      <c r="G5" s="973"/>
      <c r="H5" s="973"/>
      <c r="I5" s="973"/>
      <c r="J5" s="973"/>
      <c r="K5" s="973"/>
      <c r="L5" s="973"/>
      <c r="M5" s="973"/>
      <c r="N5" s="973"/>
      <c r="O5" s="973"/>
      <c r="P5" s="973"/>
      <c r="Q5" s="973"/>
      <c r="R5" s="973"/>
      <c r="S5" s="973"/>
      <c r="T5" s="973"/>
      <c r="U5" s="973"/>
      <c r="V5" s="973"/>
      <c r="W5" s="973"/>
      <c r="X5" s="973"/>
      <c r="Y5" s="973"/>
      <c r="Z5" s="973"/>
      <c r="AA5" s="973"/>
      <c r="AB5" s="973"/>
      <c r="AC5" s="973"/>
      <c r="AD5" s="973"/>
      <c r="AE5" s="973"/>
      <c r="AF5" s="973"/>
      <c r="AG5" s="973"/>
      <c r="AH5" s="973"/>
      <c r="AI5" s="973"/>
      <c r="AJ5" s="973"/>
      <c r="AK5" s="973"/>
      <c r="AL5" s="973"/>
      <c r="AM5" s="973"/>
      <c r="AN5" s="973"/>
      <c r="AO5" s="973"/>
      <c r="AP5" s="973"/>
      <c r="AQ5" s="973"/>
      <c r="AR5" s="973"/>
      <c r="AS5" s="973"/>
      <c r="AT5" s="973"/>
      <c r="AU5" s="973"/>
      <c r="AV5" s="973"/>
      <c r="AW5" s="973"/>
      <c r="AX5" s="973"/>
      <c r="AY5" s="973"/>
      <c r="AZ5" s="973"/>
      <c r="BA5" s="973"/>
      <c r="BB5" s="973"/>
    </row>
    <row r="6" spans="1:60">
      <c r="A6" s="973"/>
      <c r="B6" s="973"/>
      <c r="C6" s="973"/>
      <c r="D6" s="973"/>
      <c r="E6" s="973"/>
      <c r="F6" s="973"/>
      <c r="G6" s="973"/>
      <c r="H6" s="973"/>
      <c r="I6" s="973"/>
      <c r="J6" s="973"/>
      <c r="K6" s="973"/>
      <c r="L6" s="973"/>
      <c r="M6" s="973"/>
      <c r="N6" s="973"/>
      <c r="O6" s="973"/>
      <c r="P6" s="973"/>
      <c r="Q6" s="973"/>
      <c r="R6" s="973"/>
      <c r="S6" s="973"/>
      <c r="T6" s="973"/>
      <c r="U6" s="973"/>
      <c r="V6" s="973"/>
      <c r="W6" s="973"/>
      <c r="X6" s="973"/>
      <c r="Y6" s="973"/>
      <c r="Z6" s="973"/>
      <c r="AA6" s="973"/>
      <c r="AB6" s="973"/>
      <c r="AC6" s="973"/>
      <c r="AD6" s="973"/>
      <c r="AE6" s="973"/>
      <c r="AF6" s="973"/>
      <c r="AG6" s="973"/>
      <c r="AH6" s="973"/>
      <c r="AI6" s="973"/>
      <c r="AJ6" s="973"/>
      <c r="AK6" s="973"/>
      <c r="AL6" s="973"/>
      <c r="AM6" s="973"/>
      <c r="AN6" s="973"/>
      <c r="AO6" s="973"/>
      <c r="AP6" s="973"/>
      <c r="AQ6" s="973"/>
      <c r="AR6" s="973"/>
      <c r="AS6" s="973"/>
      <c r="AT6" s="973"/>
      <c r="AU6" s="973"/>
      <c r="AV6" s="973"/>
      <c r="AW6" s="973"/>
      <c r="AX6" s="973"/>
      <c r="AY6" s="973"/>
      <c r="AZ6" s="973"/>
      <c r="BA6" s="973"/>
      <c r="BB6" s="973"/>
    </row>
    <row r="7" spans="1:60" ht="15.75" customHeight="1">
      <c r="A7" s="973"/>
      <c r="B7" s="973"/>
      <c r="C7" s="973"/>
      <c r="D7" s="973"/>
      <c r="E7" s="973"/>
      <c r="F7" s="973"/>
      <c r="G7" s="973"/>
      <c r="H7" s="973"/>
      <c r="I7" s="973"/>
      <c r="J7" s="973"/>
      <c r="K7" s="973"/>
      <c r="L7" s="973"/>
      <c r="M7" s="973"/>
      <c r="N7" s="973"/>
      <c r="O7" s="973"/>
      <c r="P7" s="973"/>
      <c r="Q7" s="973"/>
      <c r="R7" s="973"/>
      <c r="S7" s="973"/>
      <c r="T7" s="973"/>
      <c r="U7" s="973"/>
      <c r="V7" s="973"/>
      <c r="W7" s="973"/>
      <c r="X7" s="973"/>
      <c r="Y7" s="973"/>
      <c r="Z7" s="973"/>
      <c r="AA7" s="973"/>
      <c r="AB7" s="973"/>
      <c r="AC7" s="973"/>
      <c r="AD7" s="973"/>
      <c r="AE7" s="973"/>
      <c r="AF7" s="973"/>
      <c r="AG7" s="973"/>
      <c r="AH7" s="973"/>
      <c r="AI7" s="973"/>
      <c r="AJ7" s="973"/>
      <c r="AK7" s="973"/>
      <c r="AL7" s="973"/>
      <c r="AM7" s="973"/>
      <c r="AN7" s="973"/>
      <c r="AO7" s="973"/>
      <c r="AP7" s="973"/>
      <c r="AQ7" s="973"/>
      <c r="AR7" s="973"/>
      <c r="AS7" s="973"/>
      <c r="AT7" s="973"/>
      <c r="AU7" s="973"/>
      <c r="AV7" s="973"/>
      <c r="AW7" s="973"/>
      <c r="AX7" s="973"/>
      <c r="AY7" s="973"/>
      <c r="AZ7" s="973"/>
      <c r="BA7" s="973"/>
      <c r="BB7" s="973"/>
    </row>
    <row r="8" spans="1:60" ht="12.75" customHeight="1">
      <c r="A8" s="973"/>
      <c r="B8" s="973"/>
      <c r="C8" s="973"/>
      <c r="D8" s="973"/>
      <c r="E8" s="973"/>
      <c r="F8" s="973"/>
      <c r="G8" s="973"/>
      <c r="H8" s="973"/>
      <c r="I8" s="973"/>
      <c r="J8" s="973"/>
      <c r="K8" s="973"/>
      <c r="L8" s="973"/>
      <c r="M8" s="973"/>
      <c r="N8" s="973"/>
      <c r="O8" s="973"/>
      <c r="P8" s="973"/>
      <c r="Q8" s="973"/>
      <c r="R8" s="973"/>
      <c r="S8" s="973"/>
      <c r="T8" s="973"/>
      <c r="U8" s="973"/>
      <c r="V8" s="973"/>
      <c r="W8" s="973"/>
      <c r="X8" s="973"/>
      <c r="Y8" s="973"/>
      <c r="Z8" s="973"/>
      <c r="AA8" s="973"/>
      <c r="AB8" s="973"/>
      <c r="AC8" s="973"/>
      <c r="AD8" s="973"/>
      <c r="AE8" s="973"/>
      <c r="AF8" s="973"/>
      <c r="AG8" s="973"/>
      <c r="AH8" s="973"/>
      <c r="AI8" s="973"/>
      <c r="AJ8" s="973"/>
      <c r="AK8" s="973"/>
      <c r="AL8" s="973"/>
      <c r="AM8" s="973"/>
      <c r="AN8" s="973"/>
      <c r="AO8" s="973"/>
      <c r="AP8" s="973"/>
      <c r="AQ8" s="973"/>
      <c r="AR8" s="973"/>
      <c r="AS8" s="973"/>
      <c r="AT8" s="973"/>
      <c r="AU8" s="973"/>
      <c r="AV8" s="973"/>
      <c r="AW8" s="973"/>
      <c r="AX8" s="973"/>
      <c r="AY8" s="973"/>
      <c r="AZ8" s="973"/>
      <c r="BA8" s="973"/>
      <c r="BB8" s="973"/>
    </row>
    <row r="9" spans="1:60" ht="12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60" ht="12.75" customHeight="1">
      <c r="A10" s="8"/>
      <c r="B10" s="32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60" ht="12.75" customHeight="1">
      <c r="A11" s="10"/>
      <c r="C11" s="325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60" ht="15.75">
      <c r="B12" s="326"/>
      <c r="O12" s="3"/>
      <c r="P12" s="3"/>
      <c r="Q12" s="3"/>
      <c r="R12" s="3"/>
      <c r="S12" s="3"/>
      <c r="V12" s="327"/>
      <c r="W12" s="327"/>
      <c r="X12" s="328"/>
    </row>
    <row r="13" spans="1:60" s="12" customFormat="1" ht="30.75" customHeight="1">
      <c r="A13" s="959" t="s">
        <v>16</v>
      </c>
      <c r="B13" s="882" t="s">
        <v>123</v>
      </c>
      <c r="C13" s="905" t="s">
        <v>18</v>
      </c>
      <c r="D13" s="886" t="s">
        <v>19</v>
      </c>
      <c r="E13" s="975" t="s">
        <v>124</v>
      </c>
      <c r="F13" s="978" t="s">
        <v>1</v>
      </c>
      <c r="G13" s="969"/>
      <c r="H13" s="969"/>
      <c r="I13" s="969"/>
      <c r="J13" s="969"/>
      <c r="K13" s="969"/>
      <c r="L13" s="969"/>
      <c r="M13" s="969"/>
      <c r="N13" s="969"/>
      <c r="O13" s="969"/>
      <c r="P13" s="969"/>
      <c r="Q13" s="969"/>
      <c r="R13" s="969"/>
      <c r="S13" s="969"/>
      <c r="T13" s="969"/>
      <c r="U13" s="969"/>
      <c r="V13" s="969"/>
      <c r="W13" s="969"/>
      <c r="X13" s="969"/>
      <c r="Y13" s="969"/>
      <c r="Z13" s="969"/>
      <c r="AA13" s="969"/>
      <c r="AB13" s="969"/>
      <c r="AC13" s="969"/>
      <c r="AD13" s="969"/>
      <c r="AE13" s="969"/>
      <c r="AF13" s="969"/>
      <c r="AG13" s="969"/>
      <c r="AH13" s="969"/>
      <c r="AI13" s="969"/>
      <c r="AJ13" s="969"/>
      <c r="AK13" s="969"/>
      <c r="AL13" s="969"/>
      <c r="AM13" s="969"/>
      <c r="AN13" s="969"/>
      <c r="AO13" s="969"/>
      <c r="AP13" s="969"/>
      <c r="AQ13" s="969"/>
      <c r="AR13" s="969"/>
      <c r="AS13" s="969"/>
      <c r="AT13" s="969"/>
      <c r="AU13" s="969"/>
      <c r="AV13" s="969"/>
      <c r="AW13" s="969"/>
      <c r="AX13" s="969"/>
      <c r="AY13" s="969"/>
      <c r="AZ13" s="969"/>
      <c r="BA13" s="969"/>
      <c r="BB13" s="970"/>
      <c r="BC13" s="937" t="s">
        <v>70</v>
      </c>
      <c r="BD13" s="938"/>
      <c r="BE13" s="938"/>
      <c r="BF13" s="938"/>
      <c r="BG13" s="938"/>
    </row>
    <row r="14" spans="1:60" s="13" customFormat="1" ht="27" customHeight="1">
      <c r="A14" s="960"/>
      <c r="B14" s="883"/>
      <c r="C14" s="962"/>
      <c r="D14" s="887"/>
      <c r="E14" s="976"/>
      <c r="F14" s="957" t="s">
        <v>128</v>
      </c>
      <c r="G14" s="982" t="s">
        <v>71</v>
      </c>
      <c r="H14" s="983"/>
      <c r="I14" s="983"/>
      <c r="J14" s="983"/>
      <c r="K14" s="983"/>
      <c r="L14" s="983"/>
      <c r="M14" s="983"/>
      <c r="N14" s="983"/>
      <c r="O14" s="984"/>
      <c r="P14" s="941" t="s">
        <v>50</v>
      </c>
      <c r="Q14" s="942"/>
      <c r="R14" s="942"/>
      <c r="S14" s="942"/>
      <c r="T14" s="942"/>
      <c r="U14" s="942"/>
      <c r="V14" s="942"/>
      <c r="W14" s="942"/>
      <c r="X14" s="942"/>
      <c r="Y14" s="942"/>
      <c r="Z14" s="942"/>
      <c r="AA14" s="942"/>
      <c r="AB14" s="943"/>
      <c r="AC14" s="944" t="s">
        <v>48</v>
      </c>
      <c r="AD14" s="945"/>
      <c r="AE14" s="945"/>
      <c r="AF14" s="945"/>
      <c r="AG14" s="945"/>
      <c r="AH14" s="945"/>
      <c r="AI14" s="945"/>
      <c r="AJ14" s="945"/>
      <c r="AK14" s="945"/>
      <c r="AL14" s="945"/>
      <c r="AM14" s="945"/>
      <c r="AN14" s="945"/>
      <c r="AO14" s="946"/>
      <c r="AP14" s="947" t="s">
        <v>49</v>
      </c>
      <c r="AQ14" s="947"/>
      <c r="AR14" s="947"/>
      <c r="AS14" s="947"/>
      <c r="AT14" s="947"/>
      <c r="AU14" s="947"/>
      <c r="AV14" s="947"/>
      <c r="AW14" s="947"/>
      <c r="AX14" s="947"/>
      <c r="AY14" s="947"/>
      <c r="AZ14" s="947"/>
      <c r="BA14" s="947"/>
      <c r="BB14" s="948"/>
      <c r="BC14" s="937"/>
      <c r="BD14" s="937"/>
      <c r="BE14" s="937"/>
      <c r="BF14" s="938"/>
      <c r="BG14" s="938"/>
      <c r="BH14" s="329"/>
    </row>
    <row r="15" spans="1:60" s="13" customFormat="1" ht="49.5" customHeight="1">
      <c r="A15" s="961"/>
      <c r="B15" s="884"/>
      <c r="C15" s="963"/>
      <c r="D15" s="888"/>
      <c r="E15" s="977"/>
      <c r="F15" s="958"/>
      <c r="G15" s="608" t="s">
        <v>72</v>
      </c>
      <c r="H15" s="609" t="s">
        <v>73</v>
      </c>
      <c r="I15" s="610" t="s">
        <v>74</v>
      </c>
      <c r="J15" s="611" t="s">
        <v>75</v>
      </c>
      <c r="K15" s="611" t="s">
        <v>76</v>
      </c>
      <c r="L15" s="611" t="s">
        <v>77</v>
      </c>
      <c r="M15" s="611" t="s">
        <v>78</v>
      </c>
      <c r="N15" s="611" t="s">
        <v>104</v>
      </c>
      <c r="O15" s="612" t="s">
        <v>79</v>
      </c>
      <c r="P15" s="255" t="s">
        <v>29</v>
      </c>
      <c r="Q15" s="37" t="s">
        <v>30</v>
      </c>
      <c r="R15" s="482" t="s">
        <v>80</v>
      </c>
      <c r="S15" s="37" t="s">
        <v>81</v>
      </c>
      <c r="T15" s="37" t="s">
        <v>82</v>
      </c>
      <c r="U15" s="37" t="s">
        <v>83</v>
      </c>
      <c r="V15" s="37" t="s">
        <v>84</v>
      </c>
      <c r="W15" s="37" t="s">
        <v>85</v>
      </c>
      <c r="X15" s="37" t="s">
        <v>76</v>
      </c>
      <c r="Y15" s="37" t="s">
        <v>77</v>
      </c>
      <c r="Z15" s="37" t="s">
        <v>89</v>
      </c>
      <c r="AA15" s="37" t="s">
        <v>86</v>
      </c>
      <c r="AB15" s="38" t="s">
        <v>33</v>
      </c>
      <c r="AC15" s="490" t="s">
        <v>29</v>
      </c>
      <c r="AD15" s="216" t="s">
        <v>30</v>
      </c>
      <c r="AE15" s="273" t="s">
        <v>80</v>
      </c>
      <c r="AF15" s="216" t="s">
        <v>81</v>
      </c>
      <c r="AG15" s="216" t="s">
        <v>82</v>
      </c>
      <c r="AH15" s="216" t="s">
        <v>83</v>
      </c>
      <c r="AI15" s="216" t="s">
        <v>84</v>
      </c>
      <c r="AJ15" s="216" t="s">
        <v>85</v>
      </c>
      <c r="AK15" s="216" t="s">
        <v>76</v>
      </c>
      <c r="AL15" s="216" t="s">
        <v>77</v>
      </c>
      <c r="AM15" s="216" t="s">
        <v>127</v>
      </c>
      <c r="AN15" s="216" t="s">
        <v>87</v>
      </c>
      <c r="AO15" s="217" t="s">
        <v>33</v>
      </c>
      <c r="AP15" s="521" t="s">
        <v>29</v>
      </c>
      <c r="AQ15" s="54" t="s">
        <v>30</v>
      </c>
      <c r="AR15" s="79" t="s">
        <v>80</v>
      </c>
      <c r="AS15" s="54" t="s">
        <v>81</v>
      </c>
      <c r="AT15" s="54" t="s">
        <v>82</v>
      </c>
      <c r="AU15" s="54" t="s">
        <v>83</v>
      </c>
      <c r="AV15" s="54" t="s">
        <v>84</v>
      </c>
      <c r="AW15" s="54" t="s">
        <v>85</v>
      </c>
      <c r="AX15" s="54" t="s">
        <v>76</v>
      </c>
      <c r="AY15" s="54" t="s">
        <v>77</v>
      </c>
      <c r="AZ15" s="54" t="s">
        <v>89</v>
      </c>
      <c r="BA15" s="54" t="s">
        <v>88</v>
      </c>
      <c r="BB15" s="55" t="s">
        <v>33</v>
      </c>
      <c r="BC15" s="335" t="s">
        <v>72</v>
      </c>
      <c r="BD15" s="336" t="s">
        <v>73</v>
      </c>
      <c r="BE15" s="336" t="s">
        <v>89</v>
      </c>
      <c r="BF15" s="336" t="s">
        <v>90</v>
      </c>
      <c r="BG15" s="415" t="s">
        <v>91</v>
      </c>
    </row>
    <row r="16" spans="1:60" s="520" customFormat="1" ht="9.75" customHeight="1">
      <c r="A16" s="43">
        <v>1</v>
      </c>
      <c r="B16" s="42">
        <v>2</v>
      </c>
      <c r="C16" s="45">
        <v>3</v>
      </c>
      <c r="D16" s="4">
        <v>4</v>
      </c>
      <c r="E16" s="7">
        <v>5</v>
      </c>
      <c r="F16" s="512">
        <v>6</v>
      </c>
      <c r="G16" s="45"/>
      <c r="H16" s="4"/>
      <c r="I16" s="4"/>
      <c r="J16" s="4"/>
      <c r="K16" s="4"/>
      <c r="L16" s="45"/>
      <c r="M16" s="4"/>
      <c r="N16" s="4"/>
      <c r="O16" s="7"/>
      <c r="P16" s="81">
        <v>7</v>
      </c>
      <c r="Q16" s="4">
        <v>8</v>
      </c>
      <c r="R16" s="45"/>
      <c r="S16" s="4"/>
      <c r="T16" s="4"/>
      <c r="U16" s="4"/>
      <c r="V16" s="45"/>
      <c r="W16" s="45"/>
      <c r="X16" s="45"/>
      <c r="Y16" s="275"/>
      <c r="Z16" s="513">
        <v>9</v>
      </c>
      <c r="AA16" s="46"/>
      <c r="AB16" s="514">
        <v>10</v>
      </c>
      <c r="AC16" s="515">
        <v>11</v>
      </c>
      <c r="AD16" s="46">
        <v>12</v>
      </c>
      <c r="AE16" s="45"/>
      <c r="AF16" s="4"/>
      <c r="AG16" s="4"/>
      <c r="AH16" s="275"/>
      <c r="AI16" s="6"/>
      <c r="AJ16" s="6"/>
      <c r="AK16" s="6"/>
      <c r="AL16" s="4"/>
      <c r="AM16" s="516">
        <v>13</v>
      </c>
      <c r="AN16" s="517"/>
      <c r="AO16" s="514">
        <v>14</v>
      </c>
      <c r="AP16" s="513">
        <v>15</v>
      </c>
      <c r="AQ16" s="513">
        <v>16</v>
      </c>
      <c r="AR16" s="275"/>
      <c r="AS16" s="6"/>
      <c r="AT16" s="6"/>
      <c r="AU16" s="6"/>
      <c r="AV16" s="6"/>
      <c r="AW16" s="6"/>
      <c r="AX16" s="6"/>
      <c r="AY16" s="4"/>
      <c r="AZ16" s="46">
        <v>17</v>
      </c>
      <c r="BA16" s="516"/>
      <c r="BB16" s="514">
        <v>18</v>
      </c>
      <c r="BC16" s="518"/>
      <c r="BD16" s="512"/>
      <c r="BE16" s="519"/>
      <c r="BF16" s="519"/>
      <c r="BG16" s="519"/>
    </row>
    <row r="17" spans="1:59" s="338" customFormat="1" ht="15" customHeight="1">
      <c r="A17" s="337">
        <v>1</v>
      </c>
      <c r="B17" s="416" t="s">
        <v>105</v>
      </c>
      <c r="C17" s="417">
        <v>20</v>
      </c>
      <c r="D17" s="418">
        <v>30</v>
      </c>
      <c r="E17" s="522">
        <v>1660</v>
      </c>
      <c r="F17" s="607">
        <v>198.1</v>
      </c>
      <c r="G17" s="613">
        <v>0</v>
      </c>
      <c r="H17" s="614">
        <v>0</v>
      </c>
      <c r="I17" s="615">
        <v>0</v>
      </c>
      <c r="J17" s="615">
        <f>E17*I17</f>
        <v>0</v>
      </c>
      <c r="K17" s="615">
        <v>0</v>
      </c>
      <c r="L17" s="616">
        <f>E17*K17</f>
        <v>0</v>
      </c>
      <c r="M17" s="616">
        <f>SUM(I17+K17)</f>
        <v>0</v>
      </c>
      <c r="N17" s="616">
        <f>SUM(J17+M17)</f>
        <v>0</v>
      </c>
      <c r="O17" s="617">
        <f>N17*B$29</f>
        <v>0</v>
      </c>
      <c r="P17" s="483">
        <f>C17</f>
        <v>20</v>
      </c>
      <c r="Q17" s="484">
        <f>D17</f>
        <v>30</v>
      </c>
      <c r="R17" s="485"/>
      <c r="S17" s="486">
        <f>E17*R17</f>
        <v>0</v>
      </c>
      <c r="T17" s="486">
        <v>0</v>
      </c>
      <c r="U17" s="486">
        <f>E17*T17</f>
        <v>0</v>
      </c>
      <c r="V17" s="485">
        <v>35</v>
      </c>
      <c r="W17" s="485">
        <f>E17*V17</f>
        <v>58100</v>
      </c>
      <c r="X17" s="485">
        <v>163.1</v>
      </c>
      <c r="Y17" s="486">
        <f>E17*X17</f>
        <v>270746</v>
      </c>
      <c r="Z17" s="486">
        <f>SUM(R17,T17,V17,X17)</f>
        <v>198.1</v>
      </c>
      <c r="AA17" s="534">
        <f>Z17*E17</f>
        <v>328846</v>
      </c>
      <c r="AB17" s="487">
        <f>AA17*B$29</f>
        <v>2396240.294336</v>
      </c>
      <c r="AC17" s="343">
        <v>0</v>
      </c>
      <c r="AD17" s="344">
        <v>0</v>
      </c>
      <c r="AE17" s="345"/>
      <c r="AF17" s="346">
        <f>E17*AE17</f>
        <v>0</v>
      </c>
      <c r="AG17" s="346"/>
      <c r="AH17" s="346">
        <f>E17*AG17</f>
        <v>0</v>
      </c>
      <c r="AI17" s="346"/>
      <c r="AJ17" s="346">
        <f>E17*AI17</f>
        <v>0</v>
      </c>
      <c r="AK17" s="346"/>
      <c r="AL17" s="346"/>
      <c r="AM17" s="346">
        <f>SUM(AE17,AG17,AI17,AK17)</f>
        <v>0</v>
      </c>
      <c r="AN17" s="346">
        <f>E17*AM17</f>
        <v>0</v>
      </c>
      <c r="AO17" s="498">
        <f>AN17*B$29</f>
        <v>0</v>
      </c>
      <c r="AP17" s="499">
        <v>0</v>
      </c>
      <c r="AQ17" s="499">
        <v>0</v>
      </c>
      <c r="AR17" s="500"/>
      <c r="AS17" s="501">
        <f>E17* AR17</f>
        <v>0</v>
      </c>
      <c r="AT17" s="501"/>
      <c r="AU17" s="501">
        <f>E17*AT17</f>
        <v>0</v>
      </c>
      <c r="AV17" s="501"/>
      <c r="AW17" s="501">
        <f>E17*AV17</f>
        <v>0</v>
      </c>
      <c r="AX17" s="501"/>
      <c r="AY17" s="501">
        <f>E17*AX17</f>
        <v>0</v>
      </c>
      <c r="AZ17" s="501">
        <f>AR17+AT17+AV17+AX17</f>
        <v>0</v>
      </c>
      <c r="BA17" s="501">
        <f>E17*AZ17</f>
        <v>0</v>
      </c>
      <c r="BB17" s="510">
        <f>BA17*B$29</f>
        <v>0</v>
      </c>
      <c r="BC17" s="347">
        <f t="shared" ref="BC17:BD20" si="0">P17+AC17+AP17</f>
        <v>20</v>
      </c>
      <c r="BD17" s="348">
        <f t="shared" si="0"/>
        <v>30</v>
      </c>
      <c r="BE17" s="349">
        <f>SUM(Z17+AM17+AZ17)</f>
        <v>198.1</v>
      </c>
      <c r="BF17" s="349">
        <f>SUM((AA17,AN17,BA17))</f>
        <v>328846</v>
      </c>
      <c r="BG17" s="349">
        <f>SUM(AB17,AO17,BB17)</f>
        <v>2396240.294336</v>
      </c>
    </row>
    <row r="18" spans="1:59" ht="15" customHeight="1">
      <c r="A18" s="350">
        <v>2</v>
      </c>
      <c r="B18" s="357" t="s">
        <v>106</v>
      </c>
      <c r="C18" s="420">
        <v>20</v>
      </c>
      <c r="D18" s="358">
        <v>30</v>
      </c>
      <c r="E18" s="477">
        <v>1660</v>
      </c>
      <c r="F18" s="607">
        <v>198.1</v>
      </c>
      <c r="G18" s="618">
        <v>0</v>
      </c>
      <c r="H18" s="619">
        <v>0</v>
      </c>
      <c r="I18" s="615">
        <v>0</v>
      </c>
      <c r="J18" s="615">
        <f>E18*I18</f>
        <v>0</v>
      </c>
      <c r="K18" s="615">
        <v>0</v>
      </c>
      <c r="L18" s="616">
        <f>E18*K18</f>
        <v>0</v>
      </c>
      <c r="M18" s="616">
        <f>SUM(I18+K18)</f>
        <v>0</v>
      </c>
      <c r="N18" s="616">
        <f>E18*M18</f>
        <v>0</v>
      </c>
      <c r="O18" s="617">
        <f>N18*B$29</f>
        <v>0</v>
      </c>
      <c r="P18" s="488">
        <v>0</v>
      </c>
      <c r="Q18" s="489">
        <v>0</v>
      </c>
      <c r="R18" s="485">
        <v>0</v>
      </c>
      <c r="S18" s="486">
        <f>E18*R18</f>
        <v>0</v>
      </c>
      <c r="T18" s="486">
        <v>0</v>
      </c>
      <c r="U18" s="486">
        <f>E18*T18</f>
        <v>0</v>
      </c>
      <c r="V18" s="536">
        <v>35</v>
      </c>
      <c r="W18" s="485">
        <f>E18*V18</f>
        <v>58100</v>
      </c>
      <c r="X18" s="486"/>
      <c r="Y18" s="486">
        <f>E18*X18</f>
        <v>0</v>
      </c>
      <c r="Z18" s="486">
        <f>SUM(R18,T18,V18,X18)</f>
        <v>35</v>
      </c>
      <c r="AA18" s="486">
        <f>Z18*E18</f>
        <v>58100</v>
      </c>
      <c r="AB18" s="487">
        <f>AA18*B$29</f>
        <v>423364.00959999999</v>
      </c>
      <c r="AC18" s="343">
        <f>C18</f>
        <v>20</v>
      </c>
      <c r="AD18" s="344">
        <f>D18</f>
        <v>30</v>
      </c>
      <c r="AE18" s="345">
        <v>163.1</v>
      </c>
      <c r="AF18" s="346">
        <f>E18*AE18</f>
        <v>270746</v>
      </c>
      <c r="AG18" s="346"/>
      <c r="AH18" s="346">
        <f>E18*AG18</f>
        <v>0</v>
      </c>
      <c r="AI18" s="346"/>
      <c r="AJ18" s="346">
        <f>E18*AI18</f>
        <v>0</v>
      </c>
      <c r="AK18" s="346"/>
      <c r="AL18" s="346"/>
      <c r="AM18" s="346">
        <f>SUM(AE18,AG18,AI18,AK18)</f>
        <v>163.1</v>
      </c>
      <c r="AN18" s="346">
        <f>E18*AM18</f>
        <v>270746</v>
      </c>
      <c r="AO18" s="498">
        <f>AN18*B$29</f>
        <v>1972876.284736</v>
      </c>
      <c r="AP18" s="499">
        <v>0</v>
      </c>
      <c r="AQ18" s="499">
        <v>0</v>
      </c>
      <c r="AR18" s="500"/>
      <c r="AS18" s="501">
        <f>E18* AR18</f>
        <v>0</v>
      </c>
      <c r="AT18" s="501"/>
      <c r="AU18" s="501">
        <f>E18*AT18</f>
        <v>0</v>
      </c>
      <c r="AV18" s="501"/>
      <c r="AW18" s="501">
        <f>E18*AV18</f>
        <v>0</v>
      </c>
      <c r="AX18" s="501"/>
      <c r="AY18" s="501">
        <f>E18*AX18</f>
        <v>0</v>
      </c>
      <c r="AZ18" s="501">
        <f>AR18+AT18+AV18+AX18</f>
        <v>0</v>
      </c>
      <c r="BA18" s="501">
        <f>SUM(AS18+AU18+AW18+AY18)</f>
        <v>0</v>
      </c>
      <c r="BB18" s="511">
        <f>BA18*B$29</f>
        <v>0</v>
      </c>
      <c r="BC18" s="356">
        <f t="shared" si="0"/>
        <v>20</v>
      </c>
      <c r="BD18" s="421">
        <f t="shared" si="0"/>
        <v>30</v>
      </c>
      <c r="BE18" s="422">
        <f>SUM(Z18+AM18+AZ18)</f>
        <v>198.1</v>
      </c>
      <c r="BF18" s="422">
        <f>SUM(AA18,AN18,BA18)</f>
        <v>328846</v>
      </c>
      <c r="BG18" s="422">
        <f>SUM(AB18,AO18,BB18)</f>
        <v>2396240.294336</v>
      </c>
    </row>
    <row r="19" spans="1:59" ht="15" customHeight="1">
      <c r="A19" s="350">
        <v>3</v>
      </c>
      <c r="B19" s="357" t="s">
        <v>107</v>
      </c>
      <c r="C19" s="420">
        <v>20</v>
      </c>
      <c r="D19" s="358">
        <v>30</v>
      </c>
      <c r="E19" s="477">
        <v>1660</v>
      </c>
      <c r="F19" s="607">
        <v>277.33999999999997</v>
      </c>
      <c r="G19" s="618">
        <v>0</v>
      </c>
      <c r="H19" s="619">
        <v>0</v>
      </c>
      <c r="I19" s="615">
        <v>0</v>
      </c>
      <c r="J19" s="615">
        <f>E19*I19</f>
        <v>0</v>
      </c>
      <c r="K19" s="615">
        <v>0</v>
      </c>
      <c r="L19" s="616">
        <f>E19*K19</f>
        <v>0</v>
      </c>
      <c r="M19" s="616">
        <f>SUM(I19+K19)</f>
        <v>0</v>
      </c>
      <c r="N19" s="616">
        <f>E19*M19</f>
        <v>0</v>
      </c>
      <c r="O19" s="617">
        <f>N19*B$29</f>
        <v>0</v>
      </c>
      <c r="P19" s="488">
        <v>0</v>
      </c>
      <c r="Q19" s="489">
        <v>0</v>
      </c>
      <c r="R19" s="485"/>
      <c r="S19" s="486">
        <f>E19*R19</f>
        <v>0</v>
      </c>
      <c r="T19" s="486">
        <v>0</v>
      </c>
      <c r="U19" s="486">
        <f>E19*T19</f>
        <v>0</v>
      </c>
      <c r="V19" s="536"/>
      <c r="W19" s="485">
        <f>E19*V19</f>
        <v>0</v>
      </c>
      <c r="X19" s="486"/>
      <c r="Y19" s="486">
        <f>E19*X19</f>
        <v>0</v>
      </c>
      <c r="Z19" s="486">
        <f>SUM(R19,T19,V19,X19)</f>
        <v>0</v>
      </c>
      <c r="AA19" s="486">
        <f>Z19*E19</f>
        <v>0</v>
      </c>
      <c r="AB19" s="487">
        <f>AA19*B$29</f>
        <v>0</v>
      </c>
      <c r="AC19" s="806">
        <v>0</v>
      </c>
      <c r="AD19" s="807">
        <v>0</v>
      </c>
      <c r="AE19" s="345"/>
      <c r="AF19" s="346">
        <f>E19*AE19</f>
        <v>0</v>
      </c>
      <c r="AG19" s="346"/>
      <c r="AH19" s="346">
        <f>E19*AG19</f>
        <v>0</v>
      </c>
      <c r="AI19" s="346"/>
      <c r="AJ19" s="346">
        <f>E19*AI19</f>
        <v>0</v>
      </c>
      <c r="AK19" s="346">
        <v>35</v>
      </c>
      <c r="AL19" s="346"/>
      <c r="AM19" s="346">
        <f>SUM(AE19,AG19,AI19,AK19)</f>
        <v>35</v>
      </c>
      <c r="AN19" s="346">
        <f>E19*AM19</f>
        <v>58100</v>
      </c>
      <c r="AO19" s="498">
        <f>AN19*B$29</f>
        <v>423364.00959999999</v>
      </c>
      <c r="AP19" s="499">
        <f>C19</f>
        <v>20</v>
      </c>
      <c r="AQ19" s="499">
        <v>30</v>
      </c>
      <c r="AR19" s="500">
        <v>79.239999999999995</v>
      </c>
      <c r="AS19" s="501">
        <f>E19* AR19</f>
        <v>131538.4</v>
      </c>
      <c r="AT19" s="501"/>
      <c r="AU19" s="501">
        <f>E19*AT19</f>
        <v>0</v>
      </c>
      <c r="AV19" s="501">
        <v>163.1</v>
      </c>
      <c r="AW19" s="501">
        <f>E19*AV19</f>
        <v>270746</v>
      </c>
      <c r="AX19" s="501"/>
      <c r="AY19" s="501">
        <f>E19*AX19</f>
        <v>0</v>
      </c>
      <c r="AZ19" s="501">
        <f>AR19+AT19+AV19+AX19</f>
        <v>242.33999999999997</v>
      </c>
      <c r="BA19" s="501">
        <f>SUM(AS19+AU19+AW19+AY19)</f>
        <v>402284.4</v>
      </c>
      <c r="BB19" s="511">
        <f>BA19*B$29</f>
        <v>2931372.4024704001</v>
      </c>
      <c r="BC19" s="347">
        <f t="shared" si="0"/>
        <v>20</v>
      </c>
      <c r="BD19" s="348">
        <f t="shared" si="0"/>
        <v>30</v>
      </c>
      <c r="BE19" s="422">
        <f>SUM(Z19+AM19+AZ19)</f>
        <v>277.33999999999997</v>
      </c>
      <c r="BF19" s="422">
        <f>SUM(AA19,AN19,BA19)</f>
        <v>460384.4</v>
      </c>
      <c r="BG19" s="422">
        <f>SUM(AB19,AO19,BB19)</f>
        <v>3354736.4120704001</v>
      </c>
    </row>
    <row r="20" spans="1:59" ht="15" customHeight="1">
      <c r="A20" s="350">
        <v>4</v>
      </c>
      <c r="B20" s="423" t="s">
        <v>108</v>
      </c>
      <c r="C20" s="420">
        <v>12</v>
      </c>
      <c r="D20" s="358">
        <v>18</v>
      </c>
      <c r="E20" s="477">
        <v>996</v>
      </c>
      <c r="F20" s="607">
        <v>198.1</v>
      </c>
      <c r="G20" s="618">
        <v>0</v>
      </c>
      <c r="H20" s="620">
        <v>0</v>
      </c>
      <c r="I20" s="621">
        <v>0</v>
      </c>
      <c r="J20" s="615">
        <f>E20*I20</f>
        <v>0</v>
      </c>
      <c r="K20" s="615">
        <v>0</v>
      </c>
      <c r="L20" s="616">
        <f>E20*K20</f>
        <v>0</v>
      </c>
      <c r="M20" s="616">
        <f>SUM(I20+K20)</f>
        <v>0</v>
      </c>
      <c r="N20" s="616">
        <f>E20*M20</f>
        <v>0</v>
      </c>
      <c r="O20" s="617">
        <f>N20*B$29</f>
        <v>0</v>
      </c>
      <c r="P20" s="488">
        <v>12</v>
      </c>
      <c r="Q20" s="489">
        <v>18</v>
      </c>
      <c r="R20" s="485"/>
      <c r="S20" s="486">
        <f>E20*R20</f>
        <v>0</v>
      </c>
      <c r="T20" s="486">
        <v>0</v>
      </c>
      <c r="U20" s="486">
        <f>E20*T20</f>
        <v>0</v>
      </c>
      <c r="V20" s="537">
        <v>35</v>
      </c>
      <c r="W20" s="485">
        <f>E20*V20</f>
        <v>34860</v>
      </c>
      <c r="X20" s="486">
        <v>163.1</v>
      </c>
      <c r="Y20" s="486">
        <f>E20*X20</f>
        <v>162447.6</v>
      </c>
      <c r="Z20" s="486">
        <f>SUM(R20,T20,V20,X20)</f>
        <v>198.1</v>
      </c>
      <c r="AA20" s="486">
        <f>Z20*E20</f>
        <v>197307.6</v>
      </c>
      <c r="AB20" s="487">
        <f>AA20*B$29</f>
        <v>1437744.1766016001</v>
      </c>
      <c r="AC20" s="343">
        <v>0</v>
      </c>
      <c r="AD20" s="344">
        <v>0</v>
      </c>
      <c r="AE20" s="345"/>
      <c r="AF20" s="346">
        <f>E20*AE20</f>
        <v>0</v>
      </c>
      <c r="AG20" s="346"/>
      <c r="AH20" s="346">
        <f>E20*AG20</f>
        <v>0</v>
      </c>
      <c r="AI20" s="346"/>
      <c r="AJ20" s="346">
        <f>E20*AI20</f>
        <v>0</v>
      </c>
      <c r="AK20" s="346"/>
      <c r="AL20" s="425"/>
      <c r="AM20" s="346">
        <f>SUM(AE20,AG20,AI20,AK20)</f>
        <v>0</v>
      </c>
      <c r="AN20" s="346">
        <f>E20*AM20</f>
        <v>0</v>
      </c>
      <c r="AO20" s="498">
        <f>AN20*B$29</f>
        <v>0</v>
      </c>
      <c r="AP20" s="499">
        <v>0</v>
      </c>
      <c r="AQ20" s="499">
        <v>0</v>
      </c>
      <c r="AR20" s="500"/>
      <c r="AS20" s="501">
        <f>E20* AR20</f>
        <v>0</v>
      </c>
      <c r="AT20" s="501"/>
      <c r="AU20" s="501">
        <f>E20*AT20</f>
        <v>0</v>
      </c>
      <c r="AV20" s="501"/>
      <c r="AW20" s="501">
        <f>E20*AV20</f>
        <v>0</v>
      </c>
      <c r="AX20" s="501"/>
      <c r="AY20" s="501">
        <f>E20*AX20</f>
        <v>0</v>
      </c>
      <c r="AZ20" s="501">
        <f>AR20+AT20+AV20+AX20</f>
        <v>0</v>
      </c>
      <c r="BA20" s="501">
        <f>SUM(AS20+AU20+AW20+AY20)</f>
        <v>0</v>
      </c>
      <c r="BB20" s="511">
        <f>BA20*B$29</f>
        <v>0</v>
      </c>
      <c r="BC20" s="356">
        <f t="shared" si="0"/>
        <v>12</v>
      </c>
      <c r="BD20" s="421">
        <f t="shared" si="0"/>
        <v>18</v>
      </c>
      <c r="BE20" s="422">
        <f>SUM(Z20+AM20+AZ20)</f>
        <v>198.1</v>
      </c>
      <c r="BF20" s="422">
        <f>SUM(AA20,AN20,BA20)</f>
        <v>197307.6</v>
      </c>
      <c r="BG20" s="422">
        <f>SUM(AB20,AO20,BB20)</f>
        <v>1437744.1766016001</v>
      </c>
    </row>
    <row r="21" spans="1:59" s="472" customFormat="1" ht="21.75" customHeight="1">
      <c r="A21" s="479"/>
      <c r="B21" s="480" t="s">
        <v>15</v>
      </c>
      <c r="C21" s="464">
        <f>SUM(C17:C20)</f>
        <v>72</v>
      </c>
      <c r="D21" s="464">
        <f>SUM(D17:D20)</f>
        <v>108</v>
      </c>
      <c r="E21" s="467">
        <f>SUM(E17:E20)</f>
        <v>5976</v>
      </c>
      <c r="F21" s="509" t="s">
        <v>36</v>
      </c>
      <c r="G21" s="466">
        <f>SUM(G17:G20)</f>
        <v>0</v>
      </c>
      <c r="H21" s="464">
        <f>SUM(H17:H20)</f>
        <v>0</v>
      </c>
      <c r="I21" s="465">
        <f>SUM(I17:I20)</f>
        <v>0</v>
      </c>
      <c r="J21" s="465">
        <f t="shared" ref="J21:AO21" si="1">SUM(J17:J20)</f>
        <v>0</v>
      </c>
      <c r="K21" s="465">
        <f t="shared" si="1"/>
        <v>0</v>
      </c>
      <c r="L21" s="465">
        <f t="shared" si="1"/>
        <v>0</v>
      </c>
      <c r="M21" s="465">
        <f t="shared" si="1"/>
        <v>0</v>
      </c>
      <c r="N21" s="465">
        <f t="shared" si="1"/>
        <v>0</v>
      </c>
      <c r="O21" s="467">
        <f t="shared" si="1"/>
        <v>0</v>
      </c>
      <c r="P21" s="466">
        <f t="shared" si="1"/>
        <v>32</v>
      </c>
      <c r="Q21" s="464">
        <f t="shared" si="1"/>
        <v>48</v>
      </c>
      <c r="R21" s="465" t="s">
        <v>36</v>
      </c>
      <c r="S21" s="465">
        <f>SUM(S17:S20)</f>
        <v>0</v>
      </c>
      <c r="T21" s="465" t="s">
        <v>36</v>
      </c>
      <c r="U21" s="465">
        <f t="shared" si="1"/>
        <v>0</v>
      </c>
      <c r="V21" s="465" t="s">
        <v>36</v>
      </c>
      <c r="W21" s="465">
        <f>SUM(W17:W20)</f>
        <v>151060</v>
      </c>
      <c r="X21" s="465" t="s">
        <v>36</v>
      </c>
      <c r="Y21" s="465">
        <f t="shared" si="1"/>
        <v>433193.6</v>
      </c>
      <c r="Z21" s="465" t="s">
        <v>36</v>
      </c>
      <c r="AA21" s="465">
        <f t="shared" si="1"/>
        <v>584253.6</v>
      </c>
      <c r="AB21" s="481">
        <f t="shared" si="1"/>
        <v>4257348.4805375999</v>
      </c>
      <c r="AC21" s="565">
        <f t="shared" si="1"/>
        <v>20</v>
      </c>
      <c r="AD21" s="566">
        <f t="shared" si="1"/>
        <v>30</v>
      </c>
      <c r="AE21" s="465" t="s">
        <v>36</v>
      </c>
      <c r="AF21" s="465">
        <f t="shared" si="1"/>
        <v>270746</v>
      </c>
      <c r="AG21" s="465" t="s">
        <v>36</v>
      </c>
      <c r="AH21" s="465">
        <f>SUM(AH17:AH20)</f>
        <v>0</v>
      </c>
      <c r="AI21" s="465" t="s">
        <v>36</v>
      </c>
      <c r="AJ21" s="465">
        <f t="shared" si="1"/>
        <v>0</v>
      </c>
      <c r="AK21" s="465" t="s">
        <v>36</v>
      </c>
      <c r="AL21" s="465">
        <v>0</v>
      </c>
      <c r="AM21" s="465" t="s">
        <v>36</v>
      </c>
      <c r="AN21" s="465">
        <f t="shared" si="1"/>
        <v>328846</v>
      </c>
      <c r="AO21" s="481">
        <f t="shared" si="1"/>
        <v>2396240.294336</v>
      </c>
      <c r="AP21" s="468">
        <f>SUM(AP17:AP20)</f>
        <v>20</v>
      </c>
      <c r="AQ21" s="464">
        <f>SUM(AQ17:AQ20)</f>
        <v>30</v>
      </c>
      <c r="AR21" s="465" t="s">
        <v>36</v>
      </c>
      <c r="AS21" s="465">
        <f>SUM(AS17:AS20)</f>
        <v>131538.4</v>
      </c>
      <c r="AT21" s="465" t="s">
        <v>36</v>
      </c>
      <c r="AU21" s="465">
        <f>SUM(AU17:AU20)</f>
        <v>0</v>
      </c>
      <c r="AV21" s="465" t="s">
        <v>36</v>
      </c>
      <c r="AW21" s="465">
        <f>SUM(AW17:AW20)</f>
        <v>270746</v>
      </c>
      <c r="AX21" s="465" t="s">
        <v>36</v>
      </c>
      <c r="AY21" s="465">
        <f>SUM(AY17:AY20)</f>
        <v>0</v>
      </c>
      <c r="AZ21" s="465" t="s">
        <v>36</v>
      </c>
      <c r="BA21" s="465">
        <f>SUM(BA17:BA20)</f>
        <v>402284.4</v>
      </c>
      <c r="BB21" s="481">
        <f>SUM(BB17:BB20)</f>
        <v>2931372.4024704001</v>
      </c>
      <c r="BC21" s="469">
        <f>SUM(BC17:BC20)</f>
        <v>72</v>
      </c>
      <c r="BD21" s="470">
        <f>SUM(BD17:BD20)</f>
        <v>108</v>
      </c>
      <c r="BE21" s="471"/>
      <c r="BF21" s="471">
        <f>SUM(BF17:BF20)</f>
        <v>1315384</v>
      </c>
      <c r="BG21" s="471">
        <f>SUM(BG17:BG20)</f>
        <v>9584961.177344</v>
      </c>
    </row>
    <row r="22" spans="1:59" ht="15" hidden="1" customHeight="1" thickBot="1">
      <c r="A22" s="361">
        <v>15</v>
      </c>
      <c r="B22" s="362" t="s">
        <v>97</v>
      </c>
      <c r="C22" s="363">
        <v>0</v>
      </c>
      <c r="D22" s="363">
        <v>0</v>
      </c>
      <c r="E22" s="602">
        <v>0</v>
      </c>
      <c r="F22" s="601">
        <v>0</v>
      </c>
      <c r="G22" s="366">
        <v>0</v>
      </c>
      <c r="H22" s="367">
        <v>0</v>
      </c>
      <c r="I22" s="368"/>
      <c r="J22" s="369"/>
      <c r="K22" s="370"/>
      <c r="L22" s="370"/>
      <c r="M22" s="370"/>
      <c r="N22" s="370"/>
      <c r="O22" s="371"/>
      <c r="P22" s="372">
        <v>0</v>
      </c>
      <c r="Q22" s="373">
        <v>0</v>
      </c>
      <c r="R22" s="374"/>
      <c r="S22" s="375"/>
      <c r="T22" s="375"/>
      <c r="U22" s="376"/>
      <c r="V22" s="377"/>
      <c r="W22" s="376"/>
      <c r="X22" s="376"/>
      <c r="Y22" s="376"/>
      <c r="Z22" s="376"/>
      <c r="AA22" s="375">
        <f>Z22*1000</f>
        <v>0</v>
      </c>
      <c r="AB22" s="378">
        <f>AA22*B29</f>
        <v>0</v>
      </c>
      <c r="AC22" s="379">
        <v>0</v>
      </c>
      <c r="AD22" s="380">
        <v>0</v>
      </c>
      <c r="AE22" s="381"/>
      <c r="AF22" s="382"/>
      <c r="AG22" s="383"/>
      <c r="AH22" s="376"/>
      <c r="AI22" s="376"/>
      <c r="AJ22" s="376"/>
      <c r="AK22" s="376"/>
      <c r="AL22" s="376"/>
      <c r="AM22" s="376"/>
      <c r="AN22" s="375">
        <f>AM22*1000</f>
        <v>0</v>
      </c>
      <c r="AO22" s="384">
        <f>AN22*B29</f>
        <v>0</v>
      </c>
      <c r="AP22" s="385">
        <v>0</v>
      </c>
      <c r="AQ22" s="386">
        <v>0</v>
      </c>
      <c r="AR22" s="381"/>
      <c r="AS22" s="383"/>
      <c r="AT22" s="383"/>
      <c r="AU22" s="376"/>
      <c r="AV22" s="376"/>
      <c r="AW22" s="376"/>
      <c r="AX22" s="376"/>
      <c r="AY22" s="376"/>
      <c r="AZ22" s="376"/>
      <c r="BA22" s="383">
        <f>AZ22*1000</f>
        <v>0</v>
      </c>
      <c r="BB22" s="384">
        <f>BA22*B29</f>
        <v>0</v>
      </c>
      <c r="BC22" s="387">
        <f>P22+AC22+AP22</f>
        <v>0</v>
      </c>
      <c r="BD22" s="388">
        <f>Q22+AD22+AQ22</f>
        <v>0</v>
      </c>
      <c r="BE22" s="389"/>
      <c r="BF22" s="389">
        <f>SUM(AA22,AN22,BA22)</f>
        <v>0</v>
      </c>
      <c r="BG22" s="389">
        <f>BF22*B29</f>
        <v>0</v>
      </c>
    </row>
    <row r="23" spans="1:59" s="409" customFormat="1" ht="30" hidden="1" customHeight="1" thickTop="1" thickBot="1">
      <c r="A23" s="390"/>
      <c r="B23" s="391" t="s">
        <v>59</v>
      </c>
      <c r="C23" s="19">
        <f>SUM(C21:C22)</f>
        <v>72</v>
      </c>
      <c r="D23" s="19">
        <f>SUM(D21:D22)</f>
        <v>108</v>
      </c>
      <c r="E23" s="526">
        <f>SUM(E21:E22)</f>
        <v>5976</v>
      </c>
      <c r="F23" s="523"/>
      <c r="G23" s="394">
        <f>SUM(G21:G22)</f>
        <v>0</v>
      </c>
      <c r="H23" s="394">
        <f t="shared" ref="H23:AM23" si="2">SUM(H21:H22)</f>
        <v>0</v>
      </c>
      <c r="I23" s="394"/>
      <c r="J23" s="394"/>
      <c r="K23" s="395">
        <f t="shared" si="2"/>
        <v>0</v>
      </c>
      <c r="L23" s="395">
        <f t="shared" si="2"/>
        <v>0</v>
      </c>
      <c r="M23" s="395">
        <f t="shared" si="2"/>
        <v>0</v>
      </c>
      <c r="N23" s="395">
        <f t="shared" si="2"/>
        <v>0</v>
      </c>
      <c r="O23" s="396">
        <f t="shared" si="2"/>
        <v>0</v>
      </c>
      <c r="P23" s="397">
        <f t="shared" si="2"/>
        <v>32</v>
      </c>
      <c r="Q23" s="397">
        <f t="shared" si="2"/>
        <v>48</v>
      </c>
      <c r="R23" s="398"/>
      <c r="S23" s="398"/>
      <c r="T23" s="398">
        <f t="shared" si="2"/>
        <v>0</v>
      </c>
      <c r="U23" s="398">
        <f t="shared" si="2"/>
        <v>0</v>
      </c>
      <c r="V23" s="398"/>
      <c r="W23" s="398"/>
      <c r="X23" s="398">
        <f t="shared" si="2"/>
        <v>0</v>
      </c>
      <c r="Y23" s="398">
        <f t="shared" si="2"/>
        <v>433193.6</v>
      </c>
      <c r="Z23" s="398">
        <f t="shared" si="2"/>
        <v>0</v>
      </c>
      <c r="AA23" s="399">
        <f t="shared" si="2"/>
        <v>584253.6</v>
      </c>
      <c r="AB23" s="400">
        <f t="shared" si="2"/>
        <v>4257348.4805375999</v>
      </c>
      <c r="AC23" s="401">
        <f t="shared" si="2"/>
        <v>20</v>
      </c>
      <c r="AD23" s="401">
        <f t="shared" si="2"/>
        <v>30</v>
      </c>
      <c r="AE23" s="402">
        <f t="shared" si="2"/>
        <v>0</v>
      </c>
      <c r="AF23" s="402">
        <f t="shared" si="2"/>
        <v>270746</v>
      </c>
      <c r="AG23" s="402"/>
      <c r="AH23" s="402"/>
      <c r="AI23" s="402">
        <f t="shared" si="2"/>
        <v>0</v>
      </c>
      <c r="AJ23" s="402">
        <f t="shared" si="2"/>
        <v>0</v>
      </c>
      <c r="AK23" s="402"/>
      <c r="AL23" s="402"/>
      <c r="AM23" s="402">
        <f t="shared" si="2"/>
        <v>0</v>
      </c>
      <c r="AN23" s="403">
        <f>SUM(AN21:AN22)</f>
        <v>328846</v>
      </c>
      <c r="AO23" s="402">
        <f>SUM(AO21:AO22)</f>
        <v>2396240.294336</v>
      </c>
      <c r="AP23" s="404">
        <f>SUM(AP21:AP22)</f>
        <v>20</v>
      </c>
      <c r="AQ23" s="404">
        <f>SUM(AQ21:AQ22)</f>
        <v>30</v>
      </c>
      <c r="AR23" s="405"/>
      <c r="AS23" s="405">
        <f>SUM(AS21:AS22)</f>
        <v>131538.4</v>
      </c>
      <c r="AT23" s="405"/>
      <c r="AU23" s="405">
        <f>SUM(AU21:AU22)</f>
        <v>0</v>
      </c>
      <c r="AV23" s="405"/>
      <c r="AW23" s="405">
        <f>SUM(AW21:AW22)</f>
        <v>270746</v>
      </c>
      <c r="AX23" s="405"/>
      <c r="AY23" s="405">
        <f t="shared" ref="AY23:BD23" si="3">SUM(AY21:AY22)</f>
        <v>0</v>
      </c>
      <c r="AZ23" s="405">
        <f t="shared" si="3"/>
        <v>0</v>
      </c>
      <c r="BA23" s="405">
        <f t="shared" si="3"/>
        <v>402284.4</v>
      </c>
      <c r="BB23" s="405">
        <f t="shared" si="3"/>
        <v>2931372.4024704001</v>
      </c>
      <c r="BC23" s="406">
        <f t="shared" si="3"/>
        <v>72</v>
      </c>
      <c r="BD23" s="407">
        <f t="shared" si="3"/>
        <v>108</v>
      </c>
      <c r="BE23" s="408"/>
      <c r="BF23" s="408">
        <f>SUM(BF21:BF22)</f>
        <v>1315384</v>
      </c>
      <c r="BG23" s="408">
        <f>SUM(BG21:BG22)</f>
        <v>9584961.177344</v>
      </c>
    </row>
    <row r="24" spans="1:59">
      <c r="B24" s="628" t="s">
        <v>138</v>
      </c>
      <c r="AB24" s="327">
        <f>AB21*0.3</f>
        <v>1277204.5441612799</v>
      </c>
      <c r="AO24" s="327">
        <f>AO21*0.3</f>
        <v>718872.08830079995</v>
      </c>
      <c r="BB24" s="327">
        <f>BB21*0.3</f>
        <v>879411.72074112005</v>
      </c>
    </row>
    <row r="25" spans="1:59" s="460" customFormat="1" ht="12.75" customHeight="1">
      <c r="B25" s="626" t="s">
        <v>139</v>
      </c>
      <c r="C25" s="630"/>
      <c r="I25" s="631"/>
      <c r="J25" s="631"/>
      <c r="K25" s="631"/>
      <c r="L25" s="631"/>
      <c r="M25" s="631"/>
      <c r="N25" s="631"/>
      <c r="O25" s="632"/>
      <c r="P25" s="632"/>
      <c r="Q25" s="632"/>
      <c r="Z25" s="630"/>
      <c r="AB25" s="632">
        <f>AB21-AB24</f>
        <v>2980143.9363763202</v>
      </c>
      <c r="AO25" s="632">
        <f>AO21-AO24</f>
        <v>1677368.2060352</v>
      </c>
      <c r="BB25" s="632">
        <f>BB21-BB24</f>
        <v>2051960.6817292799</v>
      </c>
      <c r="BG25" s="632"/>
    </row>
    <row r="26" spans="1:59">
      <c r="R26" s="21"/>
      <c r="AB26" s="3"/>
      <c r="AC26" s="3"/>
      <c r="AD26" s="3"/>
    </row>
    <row r="27" spans="1:59">
      <c r="AB27" s="3"/>
      <c r="AC27" s="3"/>
      <c r="AD27" s="3"/>
      <c r="AE27" s="327"/>
      <c r="AK27" s="411"/>
      <c r="AL27" s="411"/>
      <c r="AM27" s="412" t="e">
        <f>#REF!-O21-Y21-AG21-AM21</f>
        <v>#REF!</v>
      </c>
    </row>
    <row r="28" spans="1:59" s="568" customFormat="1" ht="11.25">
      <c r="B28" s="568" t="s">
        <v>41</v>
      </c>
      <c r="C28" s="967">
        <v>7.286816</v>
      </c>
      <c r="D28" s="967"/>
      <c r="N28" s="569"/>
      <c r="O28" s="569"/>
      <c r="P28" s="569"/>
      <c r="Q28" s="569"/>
      <c r="R28" s="569"/>
      <c r="S28" s="569"/>
      <c r="X28" s="569"/>
      <c r="AK28" s="570"/>
      <c r="AL28" s="570"/>
      <c r="AM28" s="570"/>
    </row>
    <row r="29" spans="1:59" ht="15.75">
      <c r="B29" s="956">
        <v>7.286816</v>
      </c>
      <c r="C29" s="956"/>
      <c r="P29" s="3"/>
      <c r="AK29" s="411"/>
      <c r="AL29" s="411"/>
      <c r="AM29" s="412" t="e">
        <f>AM21+AG21+O21+Y21</f>
        <v>#VALUE!</v>
      </c>
    </row>
    <row r="30" spans="1:59" ht="20.25" customHeight="1">
      <c r="AJ30" s="413"/>
      <c r="AK30" s="413"/>
      <c r="AL30" s="413"/>
      <c r="AM30" s="413"/>
      <c r="BF30" s="413" t="s">
        <v>98</v>
      </c>
      <c r="BG30" s="3"/>
    </row>
    <row r="31" spans="1:59" ht="12" customHeight="1">
      <c r="B31" s="503" t="s">
        <v>99</v>
      </c>
      <c r="C31" s="504"/>
      <c r="D31" s="504"/>
      <c r="E31" s="504"/>
      <c r="F31" s="504"/>
      <c r="G31" s="504"/>
      <c r="H31" s="504"/>
      <c r="I31" s="504"/>
      <c r="J31" s="504"/>
      <c r="K31" s="504"/>
      <c r="L31" s="504"/>
      <c r="M31" s="504"/>
      <c r="N31" s="504"/>
      <c r="O31" s="504"/>
      <c r="P31" s="504"/>
      <c r="Q31" s="504"/>
      <c r="AI31" s="290"/>
      <c r="AJ31" s="290"/>
      <c r="AK31" s="290"/>
      <c r="AL31" s="290"/>
      <c r="AM31" s="290"/>
    </row>
    <row r="32" spans="1:59" ht="12" customHeight="1">
      <c r="B32" s="503"/>
      <c r="C32" s="504"/>
      <c r="D32" s="504"/>
      <c r="E32" s="504"/>
      <c r="F32" s="504"/>
      <c r="G32" s="504"/>
      <c r="H32" s="504"/>
      <c r="I32" s="504"/>
      <c r="J32" s="504"/>
      <c r="K32" s="504"/>
      <c r="L32" s="504"/>
      <c r="M32" s="504"/>
      <c r="N32" s="504"/>
      <c r="O32" s="504"/>
      <c r="P32" s="504"/>
      <c r="Q32" s="504"/>
      <c r="AI32" s="290"/>
      <c r="AJ32" s="290"/>
      <c r="AK32" s="290"/>
      <c r="AL32" s="290"/>
      <c r="AM32" s="290"/>
    </row>
    <row r="33" spans="2:54" ht="12" customHeight="1">
      <c r="B33" s="504" t="s">
        <v>100</v>
      </c>
      <c r="C33" s="504"/>
      <c r="D33" s="504"/>
      <c r="E33" s="504"/>
      <c r="F33" s="503">
        <v>79.239999999999995</v>
      </c>
      <c r="G33" s="503"/>
      <c r="H33" s="504" t="s">
        <v>89</v>
      </c>
      <c r="I33" s="504"/>
      <c r="J33" s="504"/>
      <c r="K33" s="504"/>
      <c r="L33" s="504"/>
      <c r="M33" s="504"/>
      <c r="N33" s="504"/>
      <c r="O33" s="504"/>
      <c r="P33" s="504"/>
      <c r="Q33" s="504"/>
      <c r="AI33" s="290"/>
      <c r="AJ33" s="290"/>
      <c r="AK33" s="290"/>
      <c r="AL33" s="290"/>
      <c r="AM33" s="290"/>
    </row>
    <row r="34" spans="2:54" ht="12" customHeight="1">
      <c r="B34" s="504" t="s">
        <v>101</v>
      </c>
      <c r="C34" s="504"/>
      <c r="D34" s="504"/>
      <c r="E34" s="504"/>
      <c r="F34" s="503">
        <v>35</v>
      </c>
      <c r="G34" s="503"/>
      <c r="H34" s="504" t="s">
        <v>89</v>
      </c>
      <c r="I34" s="504"/>
      <c r="J34" s="504"/>
      <c r="K34" s="504"/>
      <c r="L34" s="504"/>
      <c r="M34" s="504"/>
      <c r="N34" s="504"/>
      <c r="O34" s="504"/>
      <c r="P34" s="504"/>
      <c r="Q34" s="504"/>
      <c r="AI34" s="290"/>
      <c r="AJ34" s="290"/>
      <c r="AK34" s="290"/>
      <c r="AL34" s="290"/>
      <c r="AM34" s="290"/>
    </row>
    <row r="35" spans="2:54">
      <c r="B35" s="504" t="s">
        <v>102</v>
      </c>
      <c r="C35" s="504"/>
      <c r="D35" s="504"/>
      <c r="E35" s="504"/>
      <c r="F35" s="503">
        <v>277.33999999999997</v>
      </c>
      <c r="G35" s="503"/>
      <c r="H35" s="504" t="s">
        <v>89</v>
      </c>
      <c r="I35" s="504"/>
      <c r="J35" s="504"/>
      <c r="K35" s="504"/>
      <c r="L35" s="504"/>
      <c r="M35" s="504"/>
      <c r="N35" s="504"/>
      <c r="O35" s="504"/>
      <c r="P35" s="504"/>
      <c r="Q35" s="504"/>
    </row>
    <row r="36" spans="2:54">
      <c r="B36" s="504" t="s">
        <v>103</v>
      </c>
      <c r="C36" s="504"/>
      <c r="D36" s="504"/>
      <c r="E36" s="504"/>
      <c r="F36" s="504">
        <v>198.1</v>
      </c>
      <c r="G36" s="504"/>
      <c r="H36" s="504" t="s">
        <v>89</v>
      </c>
      <c r="I36" s="504"/>
      <c r="J36" s="504"/>
      <c r="K36" s="504"/>
      <c r="L36" s="504"/>
      <c r="M36" s="504"/>
      <c r="N36" s="504"/>
      <c r="O36" s="504"/>
      <c r="P36" s="504"/>
      <c r="Q36" s="504"/>
    </row>
    <row r="37" spans="2:54">
      <c r="B37" s="504"/>
      <c r="C37" s="504"/>
      <c r="D37" s="504"/>
      <c r="E37" s="504"/>
      <c r="F37" s="504"/>
      <c r="G37" s="504"/>
      <c r="H37" s="504"/>
      <c r="I37" s="504"/>
      <c r="J37" s="504"/>
      <c r="K37" s="504"/>
      <c r="L37" s="504"/>
      <c r="M37" s="504"/>
      <c r="N37" s="504"/>
      <c r="O37" s="504"/>
      <c r="P37" s="504"/>
      <c r="Q37" s="504"/>
    </row>
    <row r="38" spans="2:54">
      <c r="AQ38" s="952" t="s">
        <v>62</v>
      </c>
      <c r="AR38" s="952"/>
      <c r="AS38" s="952"/>
      <c r="AT38" s="952"/>
      <c r="AU38" s="952"/>
      <c r="AV38" s="952"/>
      <c r="AW38" s="952"/>
      <c r="AX38" s="952"/>
      <c r="AY38" s="952"/>
      <c r="AZ38" s="952"/>
      <c r="BA38" s="952"/>
      <c r="BB38" s="952"/>
    </row>
    <row r="39" spans="2:54">
      <c r="AQ39" s="952"/>
      <c r="AR39" s="952"/>
      <c r="AS39" s="952"/>
      <c r="AT39" s="952"/>
      <c r="AU39" s="952"/>
      <c r="AV39" s="952"/>
      <c r="AW39" s="952"/>
      <c r="AX39" s="952"/>
      <c r="AY39" s="952"/>
      <c r="AZ39" s="952"/>
      <c r="BA39" s="952"/>
      <c r="BB39" s="952"/>
    </row>
  </sheetData>
  <mergeCells count="18">
    <mergeCell ref="E13:E15"/>
    <mergeCell ref="BC13:BG14"/>
    <mergeCell ref="G14:O14"/>
    <mergeCell ref="P14:AB14"/>
    <mergeCell ref="AC14:AO14"/>
    <mergeCell ref="AP14:BB14"/>
    <mergeCell ref="F13:BB13"/>
    <mergeCell ref="F14:F15"/>
    <mergeCell ref="A1:B1"/>
    <mergeCell ref="A5:BB8"/>
    <mergeCell ref="AQ38:BB39"/>
    <mergeCell ref="A2:P2"/>
    <mergeCell ref="B29:C29"/>
    <mergeCell ref="C28:D28"/>
    <mergeCell ref="A13:A15"/>
    <mergeCell ref="B13:B15"/>
    <mergeCell ref="C13:C15"/>
    <mergeCell ref="D13:D15"/>
  </mergeCells>
  <phoneticPr fontId="21" type="noConversion"/>
  <pageMargins left="0.15748031496062992" right="0.15748031496062992" top="0.15748031496062992" bottom="0.19685039370078741" header="0.15748031496062992" footer="0.15748031496062992"/>
  <pageSetup paperSize="9" scale="9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3:N55"/>
  <sheetViews>
    <sheetView zoomScaleNormal="100" workbookViewId="0">
      <selection activeCell="A13" sqref="A13:N39"/>
    </sheetView>
  </sheetViews>
  <sheetFormatPr defaultRowHeight="11.25" outlineLevelCol="1"/>
  <cols>
    <col min="1" max="1" width="28" style="293" customWidth="1"/>
    <col min="2" max="2" width="11.33203125" style="293" customWidth="1"/>
    <col min="3" max="3" width="10.5" style="293" customWidth="1"/>
    <col min="4" max="4" width="18.6640625" style="293" customWidth="1" outlineLevel="1"/>
    <col min="5" max="5" width="18.6640625" style="293" customWidth="1"/>
    <col min="6" max="7" width="10.5" style="293" customWidth="1"/>
    <col min="8" max="8" width="18.6640625" style="293" customWidth="1" outlineLevel="1"/>
    <col min="9" max="9" width="18.6640625" style="293" customWidth="1"/>
    <col min="10" max="10" width="12.1640625" style="293" customWidth="1"/>
    <col min="11" max="11" width="9.1640625" style="293" customWidth="1"/>
    <col min="12" max="13" width="14" style="293" customWidth="1"/>
    <col min="14" max="16384" width="9.33203125" style="293"/>
  </cols>
  <sheetData>
    <row r="3" spans="1:13">
      <c r="K3" s="989" t="s">
        <v>167</v>
      </c>
      <c r="L3" s="989"/>
    </row>
    <row r="4" spans="1:13">
      <c r="K4" s="989"/>
      <c r="L4" s="989"/>
    </row>
    <row r="5" spans="1:13">
      <c r="A5"/>
      <c r="K5" s="989"/>
      <c r="L5" s="989"/>
    </row>
    <row r="10" spans="1:13" ht="16.5" customHeight="1">
      <c r="A10" s="994" t="s">
        <v>164</v>
      </c>
      <c r="B10" s="994"/>
      <c r="C10" s="994"/>
      <c r="D10" s="994"/>
      <c r="E10" s="994"/>
      <c r="F10" s="994"/>
      <c r="G10" s="994"/>
      <c r="H10" s="994"/>
      <c r="I10" s="994"/>
    </row>
    <row r="11" spans="1:13" ht="23.25" customHeight="1">
      <c r="A11" s="994"/>
      <c r="B11" s="994"/>
      <c r="C11" s="994"/>
      <c r="D11" s="994"/>
      <c r="E11" s="994"/>
      <c r="F11" s="994"/>
      <c r="G11" s="994"/>
      <c r="H11" s="994"/>
      <c r="I11" s="994"/>
    </row>
    <row r="12" spans="1:13" ht="35.25" customHeight="1">
      <c r="A12" s="994"/>
      <c r="B12" s="994"/>
      <c r="C12" s="994"/>
      <c r="D12" s="994"/>
      <c r="E12" s="994"/>
      <c r="F12" s="994"/>
      <c r="G12" s="994"/>
      <c r="H12" s="994"/>
      <c r="I12" s="994"/>
    </row>
    <row r="15" spans="1:13" ht="12.75">
      <c r="A15" s="292"/>
      <c r="B15" s="292"/>
      <c r="C15" s="292"/>
      <c r="D15" s="292"/>
      <c r="E15" s="292"/>
      <c r="F15" s="292"/>
      <c r="G15" s="292"/>
      <c r="H15" s="292"/>
    </row>
    <row r="16" spans="1:13" s="291" customFormat="1" ht="30.75" customHeight="1">
      <c r="A16" s="991" t="s">
        <v>58</v>
      </c>
      <c r="B16" s="871" t="s">
        <v>181</v>
      </c>
      <c r="C16" s="986" t="s">
        <v>182</v>
      </c>
      <c r="D16" s="987"/>
      <c r="E16" s="987"/>
      <c r="F16" s="987"/>
      <c r="G16" s="987"/>
      <c r="H16" s="987"/>
      <c r="I16" s="987"/>
      <c r="J16" s="987"/>
      <c r="K16" s="987"/>
      <c r="L16" s="987"/>
      <c r="M16" s="988"/>
    </row>
    <row r="17" spans="1:14" s="291" customFormat="1" ht="30.75" customHeight="1">
      <c r="A17" s="992"/>
      <c r="B17" s="998" t="s">
        <v>48</v>
      </c>
      <c r="C17" s="998"/>
      <c r="D17" s="998"/>
      <c r="E17" s="999"/>
      <c r="F17" s="995" t="s">
        <v>49</v>
      </c>
      <c r="G17" s="996"/>
      <c r="H17" s="996"/>
      <c r="I17" s="997"/>
      <c r="J17" s="1000" t="s">
        <v>170</v>
      </c>
      <c r="K17" s="1001"/>
      <c r="L17" s="1001"/>
      <c r="M17" s="1002"/>
      <c r="N17" s="863"/>
    </row>
    <row r="18" spans="1:14" s="294" customFormat="1" ht="36.75" customHeight="1">
      <c r="A18" s="993"/>
      <c r="B18" s="872" t="s">
        <v>29</v>
      </c>
      <c r="C18" s="652" t="s">
        <v>30</v>
      </c>
      <c r="D18" s="854" t="s">
        <v>180</v>
      </c>
      <c r="E18" s="652" t="s">
        <v>63</v>
      </c>
      <c r="F18" s="829" t="s">
        <v>29</v>
      </c>
      <c r="G18" s="830" t="s">
        <v>30</v>
      </c>
      <c r="H18" s="829" t="s">
        <v>180</v>
      </c>
      <c r="I18" s="654" t="s">
        <v>63</v>
      </c>
      <c r="J18" s="818" t="s">
        <v>29</v>
      </c>
      <c r="K18" s="650" t="s">
        <v>30</v>
      </c>
      <c r="L18" s="852" t="s">
        <v>180</v>
      </c>
      <c r="M18" s="650" t="s">
        <v>63</v>
      </c>
    </row>
    <row r="19" spans="1:14" s="296" customFormat="1" ht="7.5" customHeight="1">
      <c r="A19" s="299">
        <v>1</v>
      </c>
      <c r="B19" s="297">
        <v>2</v>
      </c>
      <c r="C19" s="303">
        <v>3</v>
      </c>
      <c r="D19" s="865">
        <v>4</v>
      </c>
      <c r="E19" s="865">
        <v>5</v>
      </c>
      <c r="F19" s="865">
        <v>6</v>
      </c>
      <c r="G19" s="865">
        <v>7</v>
      </c>
      <c r="H19" s="866">
        <v>8</v>
      </c>
      <c r="I19" s="867">
        <v>9</v>
      </c>
      <c r="J19" s="868">
        <v>10</v>
      </c>
      <c r="K19" s="869">
        <v>11</v>
      </c>
      <c r="L19" s="870">
        <v>12</v>
      </c>
      <c r="M19" s="869">
        <v>13</v>
      </c>
    </row>
    <row r="20" spans="1:14" s="321" customFormat="1" ht="26.25" customHeight="1">
      <c r="A20" s="322" t="s">
        <v>64</v>
      </c>
      <c r="B20" s="824">
        <f>APN!AE45</f>
        <v>129</v>
      </c>
      <c r="C20" s="825">
        <f>APN!AF45</f>
        <v>129</v>
      </c>
      <c r="D20" s="855">
        <v>10</v>
      </c>
      <c r="E20" s="653">
        <f>APN!AJ45</f>
        <v>14401756.470011201</v>
      </c>
      <c r="F20" s="831">
        <f>APN!AK45</f>
        <v>271</v>
      </c>
      <c r="G20" s="831">
        <f>APN!AL45</f>
        <v>167</v>
      </c>
      <c r="H20" s="853">
        <v>10</v>
      </c>
      <c r="I20" s="843">
        <f>APN!AP45</f>
        <v>29722737.69361645</v>
      </c>
      <c r="J20" s="819"/>
      <c r="K20" s="859"/>
      <c r="L20" s="861"/>
      <c r="M20" s="857"/>
    </row>
    <row r="21" spans="1:14" ht="26.25" customHeight="1">
      <c r="A21" s="323" t="s">
        <v>68</v>
      </c>
      <c r="B21" s="826">
        <v>48</v>
      </c>
      <c r="C21" s="827">
        <v>96</v>
      </c>
      <c r="D21" s="856">
        <v>30</v>
      </c>
      <c r="E21" s="653">
        <f>AGENCIJE!I11</f>
        <v>5175141.7170810001</v>
      </c>
      <c r="F21" s="832">
        <v>0</v>
      </c>
      <c r="G21" s="832">
        <v>0</v>
      </c>
      <c r="H21" s="853">
        <v>30</v>
      </c>
      <c r="I21" s="844">
        <f>AGENCIJE!J11</f>
        <v>1523683.4949</v>
      </c>
      <c r="J21" s="820"/>
      <c r="K21" s="821"/>
      <c r="L21" s="862"/>
      <c r="M21" s="857"/>
    </row>
    <row r="22" spans="1:14" ht="26.25" customHeight="1">
      <c r="A22" s="323" t="s">
        <v>65</v>
      </c>
      <c r="B22" s="826">
        <f>KOPRIVNICA!AC21</f>
        <v>20</v>
      </c>
      <c r="C22" s="827">
        <f>KOPRIVNICA!AD21</f>
        <v>30</v>
      </c>
      <c r="D22" s="856">
        <v>0</v>
      </c>
      <c r="E22" s="653">
        <f>AGENCIJE!I21</f>
        <v>2374116.1931480002</v>
      </c>
      <c r="F22" s="832">
        <f>KOPRIVNICA!AP21</f>
        <v>20</v>
      </c>
      <c r="G22" s="832">
        <f>KOPRIVNICA!AQ21</f>
        <v>30</v>
      </c>
      <c r="H22" s="853">
        <v>0</v>
      </c>
      <c r="I22" s="844">
        <f>AGENCIJE!J21</f>
        <v>2374116.1931480002</v>
      </c>
      <c r="J22" s="820"/>
      <c r="K22" s="821"/>
      <c r="L22" s="862"/>
      <c r="M22" s="857"/>
      <c r="N22" s="848"/>
    </row>
    <row r="23" spans="1:14" ht="26.25" customHeight="1">
      <c r="A23" s="323" t="s">
        <v>66</v>
      </c>
      <c r="B23" s="826">
        <f>'APOS RIJEKA'!AC28</f>
        <v>50</v>
      </c>
      <c r="C23" s="827">
        <f>'APOS RIJEKA'!AD28</f>
        <v>0</v>
      </c>
      <c r="D23" s="856">
        <v>0</v>
      </c>
      <c r="E23" s="653">
        <f>AGENCIJE!I30</f>
        <v>10950811.82454</v>
      </c>
      <c r="F23" s="832">
        <v>0</v>
      </c>
      <c r="G23" s="832">
        <f>'APOS RIJEKA'!AQ28</f>
        <v>0</v>
      </c>
      <c r="H23" s="853">
        <v>0</v>
      </c>
      <c r="I23" s="844">
        <f>AGENCIJE!J30</f>
        <v>2349959.6189999999</v>
      </c>
      <c r="J23" s="820"/>
      <c r="K23" s="821"/>
      <c r="L23" s="862"/>
      <c r="M23" s="857"/>
    </row>
    <row r="24" spans="1:14" ht="26.25" customHeight="1">
      <c r="A24" s="847" t="s">
        <v>67</v>
      </c>
      <c r="B24" s="826">
        <v>157</v>
      </c>
      <c r="C24" s="826">
        <v>103</v>
      </c>
      <c r="D24" s="856">
        <v>3</v>
      </c>
      <c r="E24" s="653">
        <f>AGENCIJE!I40</f>
        <v>8306878.7904591998</v>
      </c>
      <c r="F24" s="833">
        <v>70</v>
      </c>
      <c r="G24" s="833">
        <v>30</v>
      </c>
      <c r="H24" s="864">
        <v>3</v>
      </c>
      <c r="I24" s="655">
        <f>AGENCIJE!J40</f>
        <v>6038072.9996399991</v>
      </c>
      <c r="J24" s="820"/>
      <c r="K24" s="860"/>
      <c r="L24" s="858"/>
      <c r="M24" s="651"/>
    </row>
    <row r="25" spans="1:14" s="295" customFormat="1" ht="26.25" customHeight="1">
      <c r="A25" s="300" t="s">
        <v>59</v>
      </c>
      <c r="B25" s="828">
        <f>SUM(B20:B24)</f>
        <v>404</v>
      </c>
      <c r="C25" s="828">
        <f>SUM(C20:C24)</f>
        <v>358</v>
      </c>
      <c r="D25" s="656">
        <f>D24+D23+D22+D21+D20</f>
        <v>43</v>
      </c>
      <c r="E25" s="656">
        <f>E24+E23+E22+E21+E20</f>
        <v>41208704.995239399</v>
      </c>
      <c r="F25" s="834">
        <f>SUM(F20:F24)</f>
        <v>361</v>
      </c>
      <c r="G25" s="835">
        <f>SUM(G20:G24)</f>
        <v>227</v>
      </c>
      <c r="H25" s="873">
        <v>10</v>
      </c>
      <c r="I25" s="658">
        <f>SUM(I20:I24)</f>
        <v>42008570.000304446</v>
      </c>
      <c r="J25" s="822"/>
      <c r="K25" s="823"/>
      <c r="L25" s="852"/>
      <c r="M25" s="657"/>
    </row>
    <row r="26" spans="1:14" s="628" customFormat="1" ht="26.25" customHeight="1">
      <c r="D26" s="629"/>
      <c r="E26" s="629"/>
      <c r="F26" s="629"/>
      <c r="G26" s="629"/>
      <c r="H26" s="629"/>
      <c r="J26" s="846"/>
      <c r="K26" s="846"/>
      <c r="L26" s="629"/>
      <c r="M26" s="629"/>
    </row>
    <row r="27" spans="1:14" s="625" customFormat="1" ht="26.25" customHeight="1">
      <c r="A27" s="745" t="s">
        <v>176</v>
      </c>
      <c r="B27" s="740"/>
      <c r="C27" s="740"/>
      <c r="D27" s="741"/>
      <c r="E27" s="742"/>
      <c r="F27" s="740"/>
      <c r="G27" s="740"/>
      <c r="H27" s="741"/>
      <c r="I27" s="743"/>
      <c r="J27" s="740"/>
      <c r="K27" s="740"/>
      <c r="L27" s="741"/>
      <c r="M27" s="744"/>
    </row>
    <row r="28" spans="1:14" ht="9.75" customHeight="1" thickBot="1">
      <c r="D28" s="639"/>
      <c r="E28" s="639"/>
      <c r="H28" s="639"/>
      <c r="L28" s="639"/>
      <c r="M28" s="639"/>
    </row>
    <row r="29" spans="1:14" ht="26.25" customHeight="1" thickTop="1" thickBot="1">
      <c r="A29" s="749" t="s">
        <v>141</v>
      </c>
      <c r="B29" s="750"/>
      <c r="C29" s="750"/>
      <c r="D29" s="751"/>
      <c r="E29" s="753"/>
      <c r="F29" s="750"/>
      <c r="G29" s="750"/>
      <c r="H29" s="751"/>
      <c r="I29" s="754"/>
      <c r="J29" s="748"/>
      <c r="K29" s="746"/>
      <c r="L29" s="747"/>
      <c r="M29" s="752"/>
    </row>
    <row r="30" spans="1:14" ht="9" customHeight="1" thickTop="1">
      <c r="D30" s="639"/>
      <c r="E30" s="639"/>
      <c r="H30" s="639"/>
      <c r="L30" s="639"/>
      <c r="M30" s="639"/>
    </row>
    <row r="31" spans="1:14" s="756" customFormat="1" ht="26.25" customHeight="1">
      <c r="A31" s="738"/>
      <c r="B31" s="739"/>
      <c r="C31" s="739"/>
      <c r="D31" s="755"/>
      <c r="E31" s="755"/>
      <c r="F31" s="739"/>
      <c r="G31" s="739"/>
      <c r="H31" s="755"/>
      <c r="I31" s="755"/>
    </row>
    <row r="32" spans="1:14" ht="20.25" customHeight="1">
      <c r="E32" s="639"/>
      <c r="F32" s="990" t="s">
        <v>171</v>
      </c>
      <c r="G32" s="990"/>
      <c r="H32" s="990"/>
      <c r="I32" s="990"/>
    </row>
    <row r="33" spans="2:11" ht="21" customHeight="1">
      <c r="B33" s="849" t="s">
        <v>172</v>
      </c>
      <c r="C33" s="849"/>
      <c r="D33" s="849"/>
      <c r="E33" s="849"/>
      <c r="I33" s="639"/>
      <c r="K33" s="851" t="s">
        <v>179</v>
      </c>
    </row>
    <row r="34" spans="2:11" ht="12.75">
      <c r="B34" s="849" t="s">
        <v>173</v>
      </c>
      <c r="C34" s="849"/>
      <c r="D34" s="849"/>
      <c r="E34" s="850"/>
    </row>
    <row r="35" spans="2:11" ht="11.25" customHeight="1">
      <c r="B35" s="985" t="s">
        <v>174</v>
      </c>
      <c r="C35" s="985"/>
      <c r="D35" s="985"/>
      <c r="E35" s="985"/>
      <c r="F35" s="649"/>
      <c r="G35" s="649"/>
      <c r="H35" s="649"/>
      <c r="I35" s="808"/>
      <c r="J35" s="649"/>
      <c r="K35" s="649"/>
    </row>
    <row r="36" spans="2:11" ht="11.25" customHeight="1">
      <c r="B36" s="985" t="s">
        <v>175</v>
      </c>
      <c r="C36" s="985"/>
      <c r="D36" s="985"/>
      <c r="E36" s="985"/>
      <c r="F36" s="649"/>
      <c r="G36" s="649"/>
      <c r="H36" s="649"/>
      <c r="I36" s="836" t="s">
        <v>177</v>
      </c>
      <c r="J36" s="649"/>
      <c r="K36" s="649"/>
    </row>
    <row r="37" spans="2:11" ht="11.25" customHeight="1">
      <c r="B37" s="985" t="s">
        <v>178</v>
      </c>
      <c r="C37" s="985"/>
      <c r="D37" s="985"/>
      <c r="E37" s="985"/>
      <c r="F37" s="649"/>
      <c r="G37" s="649"/>
      <c r="H37" s="649"/>
      <c r="I37" s="649"/>
      <c r="J37" s="649"/>
      <c r="K37" s="649"/>
    </row>
    <row r="54" spans="2:10" ht="11.25" customHeight="1">
      <c r="B54" s="291"/>
      <c r="C54" s="291"/>
      <c r="D54" s="291"/>
      <c r="E54" s="291"/>
      <c r="F54" s="291"/>
      <c r="G54" s="291"/>
      <c r="H54" s="291"/>
      <c r="I54" s="291"/>
      <c r="J54" s="291"/>
    </row>
    <row r="55" spans="2:10" ht="11.25" customHeight="1">
      <c r="B55" s="291"/>
      <c r="C55" s="291"/>
      <c r="D55" s="291"/>
      <c r="E55" s="291"/>
      <c r="F55" s="291"/>
      <c r="G55" s="291"/>
      <c r="H55" s="291"/>
      <c r="I55" s="291"/>
      <c r="J55" s="291"/>
    </row>
  </sheetData>
  <mergeCells count="11">
    <mergeCell ref="A16:A18"/>
    <mergeCell ref="A10:I12"/>
    <mergeCell ref="F17:I17"/>
    <mergeCell ref="B17:E17"/>
    <mergeCell ref="J17:M17"/>
    <mergeCell ref="B35:E35"/>
    <mergeCell ref="B36:E36"/>
    <mergeCell ref="B37:E37"/>
    <mergeCell ref="C16:M16"/>
    <mergeCell ref="K3:L5"/>
    <mergeCell ref="F32:I32"/>
  </mergeCells>
  <phoneticPr fontId="21" type="noConversion"/>
  <printOptions horizontalCentered="1"/>
  <pageMargins left="0.59055118110236227" right="0.19685039370078741" top="0.15748031496062992" bottom="0.15748031496062992" header="0.15748031496062992" footer="0.15748031496062992"/>
  <pageSetup paperSize="9" scale="9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5:L53"/>
  <sheetViews>
    <sheetView zoomScale="80" zoomScaleNormal="80" workbookViewId="0">
      <selection activeCell="N18" sqref="N18"/>
    </sheetView>
  </sheetViews>
  <sheetFormatPr defaultRowHeight="11.25"/>
  <cols>
    <col min="1" max="1" width="20.6640625" style="293" customWidth="1"/>
    <col min="2" max="3" width="10.33203125" style="293" customWidth="1"/>
    <col min="4" max="4" width="18.6640625" style="293" customWidth="1"/>
    <col min="5" max="6" width="10.5" style="293" customWidth="1"/>
    <col min="7" max="7" width="18.6640625" style="293" customWidth="1"/>
    <col min="8" max="9" width="10.5" style="293" customWidth="1"/>
    <col min="10" max="10" width="18.6640625" style="293" customWidth="1"/>
    <col min="11" max="16384" width="9.33203125" style="293"/>
  </cols>
  <sheetData>
    <row r="5" spans="1:10">
      <c r="A5"/>
    </row>
    <row r="10" spans="1:10" ht="16.5" customHeight="1">
      <c r="A10" s="994" t="s">
        <v>61</v>
      </c>
      <c r="B10" s="994"/>
      <c r="C10" s="994"/>
      <c r="D10" s="994"/>
      <c r="E10" s="994"/>
      <c r="F10" s="994"/>
      <c r="G10" s="994"/>
      <c r="H10" s="994"/>
      <c r="I10" s="994"/>
      <c r="J10" s="994"/>
    </row>
    <row r="11" spans="1:10" ht="16.5" customHeight="1">
      <c r="A11" s="994"/>
      <c r="B11" s="994"/>
      <c r="C11" s="994"/>
      <c r="D11" s="994"/>
      <c r="E11" s="994"/>
      <c r="F11" s="994"/>
      <c r="G11" s="994"/>
      <c r="H11" s="994"/>
      <c r="I11" s="994"/>
      <c r="J11" s="994"/>
    </row>
    <row r="12" spans="1:10" ht="15.75" customHeight="1">
      <c r="A12" s="994"/>
      <c r="B12" s="994"/>
      <c r="C12" s="994"/>
      <c r="D12" s="994"/>
      <c r="E12" s="994"/>
      <c r="F12" s="994"/>
      <c r="G12" s="994"/>
      <c r="H12" s="994"/>
      <c r="I12" s="994"/>
      <c r="J12" s="994"/>
    </row>
    <row r="16" spans="1:10" ht="12.75">
      <c r="A16" s="292"/>
      <c r="B16" s="292"/>
      <c r="C16" s="292"/>
      <c r="D16" s="292"/>
      <c r="E16" s="292"/>
      <c r="F16" s="292"/>
      <c r="G16" s="292"/>
      <c r="H16" s="292"/>
      <c r="I16" s="292"/>
      <c r="J16" s="292"/>
    </row>
    <row r="17" spans="1:10" s="291" customFormat="1" ht="30.75" customHeight="1">
      <c r="A17" s="1003" t="s">
        <v>58</v>
      </c>
      <c r="B17" s="1006" t="s">
        <v>60</v>
      </c>
      <c r="C17" s="987"/>
      <c r="D17" s="987"/>
      <c r="E17" s="987"/>
      <c r="F17" s="987"/>
      <c r="G17" s="987"/>
      <c r="H17" s="987"/>
      <c r="I17" s="987"/>
      <c r="J17" s="988"/>
    </row>
    <row r="18" spans="1:10" s="291" customFormat="1" ht="30.75" customHeight="1">
      <c r="A18" s="1004"/>
      <c r="B18" s="1000" t="s">
        <v>50</v>
      </c>
      <c r="C18" s="1001"/>
      <c r="D18" s="1001"/>
      <c r="E18" s="1007" t="s">
        <v>48</v>
      </c>
      <c r="F18" s="998"/>
      <c r="G18" s="998"/>
      <c r="H18" s="995" t="s">
        <v>49</v>
      </c>
      <c r="I18" s="996"/>
      <c r="J18" s="997"/>
    </row>
    <row r="19" spans="1:10" s="294" customFormat="1" ht="36.75" customHeight="1">
      <c r="A19" s="1005"/>
      <c r="B19" s="640" t="s">
        <v>29</v>
      </c>
      <c r="C19" s="305" t="s">
        <v>30</v>
      </c>
      <c r="D19" s="316" t="s">
        <v>63</v>
      </c>
      <c r="E19" s="308" t="s">
        <v>29</v>
      </c>
      <c r="F19" s="308" t="s">
        <v>30</v>
      </c>
      <c r="G19" s="309" t="s">
        <v>63</v>
      </c>
      <c r="H19" s="647" t="s">
        <v>29</v>
      </c>
      <c r="I19" s="304" t="s">
        <v>30</v>
      </c>
      <c r="J19" s="733" t="s">
        <v>63</v>
      </c>
    </row>
    <row r="20" spans="1:10" s="296" customFormat="1" ht="7.5" customHeight="1">
      <c r="A20" s="299">
        <v>1</v>
      </c>
      <c r="B20" s="641">
        <v>2</v>
      </c>
      <c r="C20" s="298">
        <v>3</v>
      </c>
      <c r="D20" s="298">
        <v>4</v>
      </c>
      <c r="E20" s="297">
        <v>6</v>
      </c>
      <c r="F20" s="303">
        <v>7</v>
      </c>
      <c r="G20" s="303">
        <v>8</v>
      </c>
      <c r="H20" s="303">
        <v>10</v>
      </c>
      <c r="I20" s="303">
        <v>11</v>
      </c>
      <c r="J20" s="734">
        <v>12</v>
      </c>
    </row>
    <row r="21" spans="1:10" s="321" customFormat="1" ht="26.25" customHeight="1">
      <c r="A21" s="322" t="s">
        <v>64</v>
      </c>
      <c r="B21" s="642">
        <f>APN!Y45</f>
        <v>372</v>
      </c>
      <c r="C21" s="317">
        <f>APN!Z45</f>
        <v>226</v>
      </c>
      <c r="D21" s="318">
        <f>APN!AD45</f>
        <v>30720204.443334661</v>
      </c>
      <c r="E21" s="310">
        <f>APN!AE45</f>
        <v>129</v>
      </c>
      <c r="F21" s="311">
        <f>APN!AF45</f>
        <v>129</v>
      </c>
      <c r="G21" s="312">
        <f>APN!AJ45</f>
        <v>14401756.470011201</v>
      </c>
      <c r="H21" s="306">
        <f>APN!AK45</f>
        <v>271</v>
      </c>
      <c r="I21" s="306">
        <f>APN!AL45</f>
        <v>167</v>
      </c>
      <c r="J21" s="735">
        <f>APN!AP45</f>
        <v>29722737.69361645</v>
      </c>
    </row>
    <row r="22" spans="1:10" ht="26.25" customHeight="1">
      <c r="A22" s="323" t="s">
        <v>68</v>
      </c>
      <c r="B22" s="643">
        <f>DUBROVNIK!P23</f>
        <v>112</v>
      </c>
      <c r="C22" s="319">
        <f>DUBROVNIK!Q23</f>
        <v>224</v>
      </c>
      <c r="D22" s="320">
        <f>DUBROVNIK!AB25</f>
        <v>16726264.005882457</v>
      </c>
      <c r="E22" s="313">
        <f>DUBROVNIK!AC23</f>
        <v>202</v>
      </c>
      <c r="F22" s="314">
        <f>DUBROVNIK!AD23</f>
        <v>404</v>
      </c>
      <c r="G22" s="315">
        <f>DUBROVNIK!AO25</f>
        <v>9287283.3835978545</v>
      </c>
      <c r="H22" s="307">
        <f>DUBROVNIK!AP23</f>
        <v>90</v>
      </c>
      <c r="I22" s="307">
        <f>DUBROVNIK!AQ23</f>
        <v>180</v>
      </c>
      <c r="J22" s="736">
        <f>DUBROVNIK!BB25</f>
        <v>16165680.3348544</v>
      </c>
    </row>
    <row r="23" spans="1:10" ht="26.25" customHeight="1">
      <c r="A23" s="323" t="s">
        <v>65</v>
      </c>
      <c r="B23" s="643">
        <f>KOPRIVNICA!P21</f>
        <v>32</v>
      </c>
      <c r="C23" s="319">
        <f>KOPRIVNICA!Q21</f>
        <v>48</v>
      </c>
      <c r="D23" s="320">
        <f>KOPRIVNICA!AB21</f>
        <v>4257348.4805375999</v>
      </c>
      <c r="E23" s="313">
        <f>KOPRIVNICA!AC21</f>
        <v>20</v>
      </c>
      <c r="F23" s="314">
        <f>KOPRIVNICA!AD21</f>
        <v>30</v>
      </c>
      <c r="G23" s="315">
        <f>KOPRIVNICA!AO21</f>
        <v>2396240.294336</v>
      </c>
      <c r="H23" s="307">
        <f>KOPRIVNICA!AP21</f>
        <v>20</v>
      </c>
      <c r="I23" s="307">
        <f>KOPRIVNICA!AQ21</f>
        <v>30</v>
      </c>
      <c r="J23" s="736">
        <f>KOPRIVNICA!BB21</f>
        <v>2931372.4024704001</v>
      </c>
    </row>
    <row r="24" spans="1:10" ht="26.25" customHeight="1">
      <c r="A24" s="323" t="s">
        <v>66</v>
      </c>
      <c r="B24" s="643">
        <f>'APOS RIJEKA'!P28</f>
        <v>180</v>
      </c>
      <c r="C24" s="319">
        <f>'APOS RIJEKA'!Q28</f>
        <v>0</v>
      </c>
      <c r="D24" s="320">
        <f>'APOS RIJEKA'!AB28</f>
        <v>10950811.816342032</v>
      </c>
      <c r="E24" s="313">
        <f>'APOS RIJEKA'!AC28</f>
        <v>50</v>
      </c>
      <c r="F24" s="314">
        <f>'APOS RIJEKA'!AD28</f>
        <v>0</v>
      </c>
      <c r="G24" s="315">
        <f>'APOS RIJEKA'!AO28</f>
        <v>2349959.6078302814</v>
      </c>
      <c r="H24" s="307">
        <f>'APOS RIJEKA'!AP28</f>
        <v>150</v>
      </c>
      <c r="I24" s="307">
        <f>'APOS RIJEKA'!AQ28</f>
        <v>0</v>
      </c>
      <c r="J24" s="736">
        <f>'APOS RIJEKA'!BB28</f>
        <v>19660003.618500002</v>
      </c>
    </row>
    <row r="25" spans="1:10" ht="26.25" customHeight="1">
      <c r="A25" s="323" t="s">
        <v>67</v>
      </c>
      <c r="B25" s="643">
        <f>VARAŽDIN!P25</f>
        <v>87</v>
      </c>
      <c r="C25" s="635">
        <f>VARAŽDIN!Q25</f>
        <v>72</v>
      </c>
      <c r="D25" s="636">
        <f>VARAŽDIN!AB28</f>
        <v>35465608.605703942</v>
      </c>
      <c r="E25" s="313">
        <f>VARAŽDIN!AC25</f>
        <v>157</v>
      </c>
      <c r="F25" s="313">
        <f>VARAŽDIN!AD25</f>
        <v>103</v>
      </c>
      <c r="G25" s="637">
        <f>VARAŽDIN!AO28</f>
        <v>29686538.211733595</v>
      </c>
      <c r="H25" s="638">
        <f>VARAŽDIN!AP25</f>
        <v>227</v>
      </c>
      <c r="I25" s="638">
        <f>VARAŽDIN!AQ25</f>
        <v>88</v>
      </c>
      <c r="J25" s="736">
        <f>VARAŽDIN!BB28</f>
        <v>20236595.638233542</v>
      </c>
    </row>
    <row r="26" spans="1:10" s="295" customFormat="1" ht="26.25" customHeight="1">
      <c r="A26" s="300" t="s">
        <v>59</v>
      </c>
      <c r="B26" s="644">
        <f>SUM(B21:B25)</f>
        <v>783</v>
      </c>
      <c r="C26" s="645">
        <f>SUM(C21:C25)</f>
        <v>570</v>
      </c>
      <c r="D26" s="646">
        <f>D25+D24+D23+D22+D21</f>
        <v>98120237.35180071</v>
      </c>
      <c r="E26" s="645">
        <f>SUM(E21:E25)</f>
        <v>558</v>
      </c>
      <c r="F26" s="645">
        <f>SUM(F21:F25)</f>
        <v>666</v>
      </c>
      <c r="G26" s="646">
        <f>G25+G24+G23+G22+G21</f>
        <v>58121777.967508942</v>
      </c>
      <c r="H26" s="648">
        <f>SUM(H21:H25)</f>
        <v>758</v>
      </c>
      <c r="I26" s="645">
        <f>SUM(I21:I25)</f>
        <v>465</v>
      </c>
      <c r="J26" s="737">
        <f>J25+J24+J23+J22+J21</f>
        <v>88716389.687674791</v>
      </c>
    </row>
    <row r="27" spans="1:10" s="628" customFormat="1" ht="26.25" customHeight="1">
      <c r="D27" s="629"/>
      <c r="G27" s="629"/>
      <c r="H27" s="629"/>
      <c r="I27" s="629"/>
      <c r="J27" s="629"/>
    </row>
    <row r="28" spans="1:10" s="625" customFormat="1" ht="26.25" customHeight="1">
      <c r="A28" s="626"/>
      <c r="D28" s="627"/>
      <c r="G28" s="627"/>
      <c r="J28" s="627"/>
    </row>
    <row r="29" spans="1:10" ht="26.25" customHeight="1">
      <c r="D29" s="639"/>
      <c r="G29" s="639"/>
      <c r="J29" s="639"/>
    </row>
    <row r="30" spans="1:10" ht="26.25" customHeight="1">
      <c r="H30" s="990" t="s">
        <v>140</v>
      </c>
      <c r="I30" s="990"/>
      <c r="J30" s="990"/>
    </row>
    <row r="33" spans="2:12" ht="11.25" customHeight="1">
      <c r="B33" s="649"/>
      <c r="C33" s="649"/>
      <c r="D33" s="649"/>
      <c r="E33" s="649"/>
      <c r="F33" s="649"/>
      <c r="G33" s="649"/>
      <c r="H33" s="649"/>
      <c r="I33" s="649"/>
      <c r="J33" s="649"/>
      <c r="K33" s="649"/>
      <c r="L33" s="649"/>
    </row>
    <row r="34" spans="2:12" ht="11.25" customHeight="1">
      <c r="B34" s="649"/>
      <c r="C34" s="649"/>
      <c r="D34" s="649"/>
      <c r="E34" s="649"/>
      <c r="F34" s="649"/>
      <c r="G34" s="649"/>
      <c r="H34" s="649"/>
      <c r="I34" s="649"/>
      <c r="J34" s="649"/>
      <c r="K34" s="649"/>
      <c r="L34" s="649"/>
    </row>
    <row r="35" spans="2:12" ht="11.25" customHeight="1">
      <c r="B35" s="649"/>
      <c r="C35" s="649"/>
      <c r="D35" s="649"/>
      <c r="E35" s="649"/>
      <c r="F35" s="649"/>
      <c r="G35" s="649"/>
      <c r="H35" s="649"/>
      <c r="I35" s="649"/>
      <c r="J35" s="649"/>
      <c r="K35" s="649"/>
      <c r="L35" s="649"/>
    </row>
    <row r="52" spans="5:11" ht="11.25" customHeight="1">
      <c r="E52" s="291"/>
      <c r="F52" s="291"/>
      <c r="G52" s="291"/>
      <c r="H52" s="291"/>
      <c r="I52" s="291"/>
      <c r="J52" s="291"/>
      <c r="K52" s="291"/>
    </row>
    <row r="53" spans="5:11" ht="11.25" customHeight="1">
      <c r="E53" s="291"/>
      <c r="F53" s="291"/>
      <c r="G53" s="291"/>
      <c r="H53" s="291"/>
      <c r="I53" s="291"/>
      <c r="J53" s="291"/>
      <c r="K53" s="291"/>
    </row>
  </sheetData>
  <mergeCells count="7">
    <mergeCell ref="H30:J30"/>
    <mergeCell ref="A10:J12"/>
    <mergeCell ref="A17:A19"/>
    <mergeCell ref="B17:J17"/>
    <mergeCell ref="B18:D18"/>
    <mergeCell ref="E18:G18"/>
    <mergeCell ref="H18:J18"/>
  </mergeCells>
  <phoneticPr fontId="21" type="noConversion"/>
  <pageMargins left="0.59055118110236227" right="0.19685039370078741" top="0.15748031496062992" bottom="0.15748031496062992" header="0.15748031496062992" footer="0.15748031496062992"/>
  <pageSetup paperSize="9" scale="9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9"/>
  <sheetViews>
    <sheetView view="pageBreakPreview" zoomScale="60" zoomScaleNormal="90" workbookViewId="0">
      <selection activeCell="M29" sqref="M29"/>
    </sheetView>
  </sheetViews>
  <sheetFormatPr defaultRowHeight="11.25"/>
  <cols>
    <col min="1" max="1" width="29.83203125" customWidth="1"/>
    <col min="2" max="2" width="28.6640625" customWidth="1"/>
    <col min="3" max="3" width="10.33203125" customWidth="1"/>
    <col min="5" max="5" width="10.6640625" customWidth="1"/>
    <col min="6" max="6" width="12.5" customWidth="1"/>
    <col min="7" max="7" width="16.83203125" customWidth="1"/>
    <col min="8" max="10" width="16.5" customWidth="1"/>
  </cols>
  <sheetData>
    <row r="1" spans="1:13" ht="11.25" customHeight="1">
      <c r="A1" s="1017" t="s">
        <v>166</v>
      </c>
      <c r="B1" s="1017"/>
      <c r="C1" s="1017"/>
      <c r="D1" s="1017"/>
      <c r="E1" s="1017"/>
      <c r="F1" s="1017"/>
      <c r="G1" s="1017"/>
      <c r="H1" s="1017"/>
      <c r="I1" s="1017"/>
      <c r="J1" s="1017"/>
      <c r="K1" s="649"/>
      <c r="L1" s="649"/>
      <c r="M1" s="649"/>
    </row>
    <row r="2" spans="1:13" ht="18.75" customHeight="1">
      <c r="A2" s="1017"/>
      <c r="B2" s="1017"/>
      <c r="C2" s="1017"/>
      <c r="D2" s="1017"/>
      <c r="E2" s="1017"/>
      <c r="F2" s="1017"/>
      <c r="G2" s="1017"/>
      <c r="H2" s="1017"/>
      <c r="I2" s="1017"/>
      <c r="J2" s="1017"/>
      <c r="K2" s="649"/>
      <c r="L2" s="1008" t="s">
        <v>169</v>
      </c>
      <c r="M2" s="1008"/>
    </row>
    <row r="3" spans="1:13" ht="18.75" customHeight="1">
      <c r="A3" s="1017"/>
      <c r="B3" s="1017"/>
      <c r="C3" s="1017"/>
      <c r="D3" s="1017"/>
      <c r="E3" s="1017"/>
      <c r="F3" s="1017"/>
      <c r="G3" s="1017"/>
      <c r="H3" s="1017"/>
      <c r="I3" s="1017"/>
      <c r="J3" s="1017"/>
      <c r="K3" s="649"/>
      <c r="L3" s="1008"/>
      <c r="M3" s="1008"/>
    </row>
    <row r="4" spans="1:13">
      <c r="L4" s="1008"/>
      <c r="M4" s="1008"/>
    </row>
    <row r="6" spans="1:13" ht="18" customHeight="1">
      <c r="A6" s="1013" t="s">
        <v>58</v>
      </c>
      <c r="B6" s="1015" t="s">
        <v>143</v>
      </c>
      <c r="C6" s="1009" t="s">
        <v>18</v>
      </c>
      <c r="D6" s="1009" t="s">
        <v>19</v>
      </c>
      <c r="E6" s="1009" t="s">
        <v>144</v>
      </c>
      <c r="F6" s="1009" t="s">
        <v>145</v>
      </c>
      <c r="G6" s="1011" t="s">
        <v>146</v>
      </c>
      <c r="H6" s="1018" t="s">
        <v>147</v>
      </c>
      <c r="I6" s="1019"/>
      <c r="J6" s="1020"/>
    </row>
    <row r="7" spans="1:13" s="766" customFormat="1" ht="25.5" customHeight="1">
      <c r="A7" s="1014"/>
      <c r="B7" s="1016"/>
      <c r="C7" s="1010"/>
      <c r="D7" s="1010"/>
      <c r="E7" s="1010"/>
      <c r="F7" s="1010"/>
      <c r="G7" s="1012"/>
      <c r="H7" s="763" t="s">
        <v>50</v>
      </c>
      <c r="I7" s="764" t="s">
        <v>48</v>
      </c>
      <c r="J7" s="765" t="s">
        <v>49</v>
      </c>
    </row>
    <row r="8" spans="1:13" ht="14.25" customHeight="1">
      <c r="A8" s="1021" t="s">
        <v>148</v>
      </c>
      <c r="B8" s="767" t="s">
        <v>149</v>
      </c>
      <c r="C8" s="768">
        <v>64</v>
      </c>
      <c r="D8" s="815">
        <f>DUBROVNIK!D20</f>
        <v>128</v>
      </c>
      <c r="E8" s="769">
        <v>6255</v>
      </c>
      <c r="F8" s="770">
        <v>198.1</v>
      </c>
      <c r="G8" s="771">
        <f>F8*E8*B45</f>
        <v>8945841.4386390001</v>
      </c>
      <c r="H8" s="772">
        <f>F8*E8*B45</f>
        <v>8945841.4386390001</v>
      </c>
      <c r="I8" s="773">
        <v>0</v>
      </c>
      <c r="J8" s="771">
        <v>0</v>
      </c>
    </row>
    <row r="9" spans="1:13" ht="14.25" customHeight="1">
      <c r="A9" s="1022"/>
      <c r="B9" s="774" t="s">
        <v>150</v>
      </c>
      <c r="C9" s="775">
        <v>90</v>
      </c>
      <c r="D9" s="775">
        <v>180</v>
      </c>
      <c r="E9" s="776">
        <v>6030</v>
      </c>
      <c r="F9" s="795">
        <v>198.1</v>
      </c>
      <c r="G9" s="777">
        <f>F9*E9*B45</f>
        <v>8624048.5811340008</v>
      </c>
      <c r="H9" s="778">
        <v>0</v>
      </c>
      <c r="I9" s="779">
        <v>0</v>
      </c>
      <c r="J9" s="777">
        <f>35*E9*B45</f>
        <v>1523683.4949</v>
      </c>
    </row>
    <row r="10" spans="1:13" ht="14.25" customHeight="1">
      <c r="A10" s="1022"/>
      <c r="B10" s="780" t="s">
        <v>151</v>
      </c>
      <c r="C10" s="781">
        <v>48</v>
      </c>
      <c r="D10" s="816">
        <f>DUBROVNIK!D21</f>
        <v>96</v>
      </c>
      <c r="E10" s="782">
        <v>4395</v>
      </c>
      <c r="F10" s="796">
        <v>198.1</v>
      </c>
      <c r="G10" s="783">
        <f>F10*E10*B45</f>
        <v>6285687.1499309996</v>
      </c>
      <c r="H10" s="784">
        <f>35*E10*B45</f>
        <v>1110545.43285</v>
      </c>
      <c r="I10" s="785">
        <f>163.1*E10*B45</f>
        <v>5175141.7170810001</v>
      </c>
      <c r="J10" s="783">
        <v>0</v>
      </c>
    </row>
    <row r="11" spans="1:13" s="295" customFormat="1" ht="21" customHeight="1">
      <c r="A11" s="1023"/>
      <c r="B11" s="786" t="s">
        <v>15</v>
      </c>
      <c r="C11" s="787">
        <f>SUM(C8:C10)</f>
        <v>202</v>
      </c>
      <c r="D11" s="787">
        <f>SUM(D8:D10)</f>
        <v>404</v>
      </c>
      <c r="E11" s="788">
        <f>SUM(E8:E10)</f>
        <v>16680</v>
      </c>
      <c r="F11" s="789" t="s">
        <v>36</v>
      </c>
      <c r="G11" s="790">
        <f>SUM(G8:G10)</f>
        <v>23855577.169703998</v>
      </c>
      <c r="H11" s="791">
        <f>SUM(H8:H10)</f>
        <v>10056386.871489</v>
      </c>
      <c r="I11" s="792">
        <f>SUM(I8:I10)</f>
        <v>5175141.7170810001</v>
      </c>
      <c r="J11" s="790">
        <f>SUM(J8:J10)</f>
        <v>1523683.4949</v>
      </c>
    </row>
    <row r="12" spans="1:13">
      <c r="A12" s="793"/>
      <c r="E12" s="414"/>
      <c r="H12" s="794"/>
      <c r="I12" s="794"/>
      <c r="J12" s="794"/>
    </row>
    <row r="13" spans="1:13">
      <c r="A13" s="793"/>
      <c r="E13" s="414"/>
      <c r="H13" s="794"/>
      <c r="I13" s="794"/>
      <c r="J13" s="794"/>
    </row>
    <row r="14" spans="1:13">
      <c r="A14" s="793"/>
      <c r="E14" s="414"/>
      <c r="H14" s="794"/>
      <c r="I14" s="794"/>
      <c r="J14" s="794"/>
    </row>
    <row r="15" spans="1:13" ht="18" customHeight="1">
      <c r="A15" s="1013" t="s">
        <v>58</v>
      </c>
      <c r="B15" s="1015" t="s">
        <v>143</v>
      </c>
      <c r="C15" s="1009" t="s">
        <v>18</v>
      </c>
      <c r="D15" s="1009" t="s">
        <v>19</v>
      </c>
      <c r="E15" s="1009" t="s">
        <v>144</v>
      </c>
      <c r="F15" s="1009" t="s">
        <v>145</v>
      </c>
      <c r="G15" s="1011" t="s">
        <v>146</v>
      </c>
      <c r="H15" s="1018" t="s">
        <v>147</v>
      </c>
      <c r="I15" s="1019"/>
      <c r="J15" s="1020"/>
    </row>
    <row r="16" spans="1:13" ht="25.5" customHeight="1">
      <c r="A16" s="1014"/>
      <c r="B16" s="1016"/>
      <c r="C16" s="1010"/>
      <c r="D16" s="1010"/>
      <c r="E16" s="1010"/>
      <c r="F16" s="1010"/>
      <c r="G16" s="1012"/>
      <c r="H16" s="763" t="s">
        <v>50</v>
      </c>
      <c r="I16" s="764" t="s">
        <v>48</v>
      </c>
      <c r="J16" s="765" t="s">
        <v>49</v>
      </c>
    </row>
    <row r="17" spans="1:10" ht="14.25" customHeight="1">
      <c r="A17" s="1021" t="s">
        <v>152</v>
      </c>
      <c r="B17" s="767" t="s">
        <v>153</v>
      </c>
      <c r="C17" s="768">
        <v>20</v>
      </c>
      <c r="D17" s="768">
        <v>30</v>
      </c>
      <c r="E17" s="769">
        <v>1660</v>
      </c>
      <c r="F17" s="770">
        <v>198.1</v>
      </c>
      <c r="G17" s="771">
        <f>F17*E17*B45</f>
        <v>2374116.1931480002</v>
      </c>
      <c r="H17" s="772">
        <f>G17</f>
        <v>2374116.1931480002</v>
      </c>
      <c r="I17" s="773">
        <f>KOPRIVNICA!AO17</f>
        <v>0</v>
      </c>
      <c r="J17" s="771">
        <f>KOPRIVNICA!BB17</f>
        <v>0</v>
      </c>
    </row>
    <row r="18" spans="1:10" ht="14.25" customHeight="1">
      <c r="A18" s="1022"/>
      <c r="B18" s="774" t="s">
        <v>154</v>
      </c>
      <c r="C18" s="775">
        <v>20</v>
      </c>
      <c r="D18" s="775">
        <v>30</v>
      </c>
      <c r="E18" s="776">
        <v>1660</v>
      </c>
      <c r="F18" s="795">
        <v>198.1</v>
      </c>
      <c r="G18" s="777">
        <f>F18*E18*B45</f>
        <v>2374116.1931480002</v>
      </c>
      <c r="H18" s="778">
        <v>0</v>
      </c>
      <c r="I18" s="779">
        <f>G18</f>
        <v>2374116.1931480002</v>
      </c>
      <c r="J18" s="777">
        <f>KOPRIVNICA!BB18</f>
        <v>0</v>
      </c>
    </row>
    <row r="19" spans="1:10" ht="14.25" customHeight="1">
      <c r="A19" s="1022"/>
      <c r="B19" s="780" t="s">
        <v>155</v>
      </c>
      <c r="C19" s="781">
        <v>20</v>
      </c>
      <c r="D19" s="781">
        <v>30</v>
      </c>
      <c r="E19" s="782">
        <v>1660</v>
      </c>
      <c r="F19" s="812">
        <v>198.1</v>
      </c>
      <c r="G19" s="783">
        <f>F19*E19*B45</f>
        <v>2374116.1931480002</v>
      </c>
      <c r="H19" s="784">
        <f>KOPRIVNICA!AB19</f>
        <v>0</v>
      </c>
      <c r="I19" s="785">
        <v>0</v>
      </c>
      <c r="J19" s="783">
        <f>F19*E19*B45</f>
        <v>2374116.1931480002</v>
      </c>
    </row>
    <row r="20" spans="1:10" ht="14.25" customHeight="1">
      <c r="A20" s="1022"/>
      <c r="B20" s="780" t="s">
        <v>108</v>
      </c>
      <c r="C20" s="781">
        <v>12</v>
      </c>
      <c r="D20" s="781">
        <v>18</v>
      </c>
      <c r="E20" s="782">
        <v>996</v>
      </c>
      <c r="F20" s="796">
        <v>198.1</v>
      </c>
      <c r="G20" s="783">
        <f>F20*E20*B45</f>
        <v>1424469.7158888001</v>
      </c>
      <c r="H20" s="784">
        <f>G20</f>
        <v>1424469.7158888001</v>
      </c>
      <c r="I20" s="785">
        <f>KOPRIVNICA!AO20</f>
        <v>0</v>
      </c>
      <c r="J20" s="783">
        <v>0</v>
      </c>
    </row>
    <row r="21" spans="1:10" ht="21.75" customHeight="1">
      <c r="A21" s="1023"/>
      <c r="B21" s="786" t="s">
        <v>15</v>
      </c>
      <c r="C21" s="787">
        <f>SUM(C17:C20)</f>
        <v>72</v>
      </c>
      <c r="D21" s="787">
        <f>SUM(D17:D20)</f>
        <v>108</v>
      </c>
      <c r="E21" s="788">
        <f>SUM(E17:E20)</f>
        <v>5976</v>
      </c>
      <c r="F21" s="789" t="s">
        <v>36</v>
      </c>
      <c r="G21" s="790">
        <f>SUM(G17:G20)</f>
        <v>8546818.2953328006</v>
      </c>
      <c r="H21" s="791">
        <f>SUM(H17:H20)</f>
        <v>3798585.9090368003</v>
      </c>
      <c r="I21" s="792">
        <f>SUM(I17:I20)</f>
        <v>2374116.1931480002</v>
      </c>
      <c r="J21" s="790">
        <f>SUM(J17:J20)</f>
        <v>2374116.1931480002</v>
      </c>
    </row>
    <row r="22" spans="1:10">
      <c r="A22" s="793"/>
      <c r="E22" s="414"/>
      <c r="H22" s="794"/>
      <c r="I22" s="794"/>
      <c r="J22" s="794"/>
    </row>
    <row r="23" spans="1:10">
      <c r="A23" s="793"/>
      <c r="E23" s="414"/>
      <c r="H23" s="794"/>
      <c r="I23" s="794"/>
      <c r="J23" s="794"/>
    </row>
    <row r="24" spans="1:10">
      <c r="E24" s="414"/>
      <c r="H24" s="794"/>
      <c r="I24" s="794"/>
      <c r="J24" s="794"/>
    </row>
    <row r="25" spans="1:10" ht="17.25" customHeight="1">
      <c r="A25" s="1013" t="s">
        <v>58</v>
      </c>
      <c r="B25" s="1015" t="s">
        <v>143</v>
      </c>
      <c r="C25" s="1009" t="s">
        <v>18</v>
      </c>
      <c r="D25" s="1009" t="s">
        <v>19</v>
      </c>
      <c r="E25" s="1009" t="s">
        <v>144</v>
      </c>
      <c r="F25" s="1009" t="s">
        <v>145</v>
      </c>
      <c r="G25" s="1011" t="s">
        <v>146</v>
      </c>
      <c r="H25" s="1018" t="s">
        <v>147</v>
      </c>
      <c r="I25" s="1019"/>
      <c r="J25" s="1020"/>
    </row>
    <row r="26" spans="1:10" ht="25.5" customHeight="1">
      <c r="A26" s="1014"/>
      <c r="B26" s="1016"/>
      <c r="C26" s="1010"/>
      <c r="D26" s="1010"/>
      <c r="E26" s="1010"/>
      <c r="F26" s="1010"/>
      <c r="G26" s="1012"/>
      <c r="H26" s="763" t="s">
        <v>50</v>
      </c>
      <c r="I26" s="764" t="s">
        <v>48</v>
      </c>
      <c r="J26" s="765" t="s">
        <v>49</v>
      </c>
    </row>
    <row r="27" spans="1:10" ht="15" customHeight="1">
      <c r="A27" s="1021" t="s">
        <v>156</v>
      </c>
      <c r="B27" s="767" t="s">
        <v>93</v>
      </c>
      <c r="C27" s="768">
        <v>84</v>
      </c>
      <c r="D27" s="768">
        <v>50</v>
      </c>
      <c r="E27" s="769">
        <v>8113</v>
      </c>
      <c r="F27" s="813">
        <v>198.1</v>
      </c>
      <c r="G27" s="771">
        <f>F27*E27*B45</f>
        <v>11603135.3463914</v>
      </c>
      <c r="H27" s="772">
        <f>163.1*E27*B45</f>
        <v>9553111.4336013999</v>
      </c>
      <c r="I27" s="773">
        <v>0</v>
      </c>
      <c r="J27" s="771">
        <v>0</v>
      </c>
    </row>
    <row r="28" spans="1:10" ht="15" customHeight="1">
      <c r="A28" s="1022"/>
      <c r="B28" s="774" t="s">
        <v>94</v>
      </c>
      <c r="C28" s="775">
        <v>150</v>
      </c>
      <c r="D28" s="775">
        <v>0</v>
      </c>
      <c r="E28" s="776">
        <v>9300</v>
      </c>
      <c r="F28" s="814">
        <v>198.1</v>
      </c>
      <c r="G28" s="777">
        <f>F28*E28*B45</f>
        <v>13300771.443539999</v>
      </c>
      <c r="H28" s="778">
        <f>35*E28*B45</f>
        <v>2349959.6189999999</v>
      </c>
      <c r="I28" s="779">
        <f>163.1*E28*B45</f>
        <v>10950811.82454</v>
      </c>
      <c r="J28" s="777">
        <v>0</v>
      </c>
    </row>
    <row r="29" spans="1:10" ht="15" customHeight="1">
      <c r="A29" s="1022"/>
      <c r="B29" s="780" t="s">
        <v>125</v>
      </c>
      <c r="C29" s="781">
        <v>150</v>
      </c>
      <c r="D29" s="781">
        <v>0</v>
      </c>
      <c r="E29" s="782">
        <v>9300</v>
      </c>
      <c r="F29" s="796">
        <v>198.1</v>
      </c>
      <c r="G29" s="783">
        <f>F29*E29*B45</f>
        <v>13300771.443539999</v>
      </c>
      <c r="H29" s="784">
        <v>0</v>
      </c>
      <c r="I29" s="785">
        <v>0</v>
      </c>
      <c r="J29" s="783">
        <f>35*E29*B45</f>
        <v>2349959.6189999999</v>
      </c>
    </row>
    <row r="30" spans="1:10" ht="21" customHeight="1">
      <c r="A30" s="1023"/>
      <c r="B30" s="786" t="s">
        <v>15</v>
      </c>
      <c r="C30" s="787">
        <f>SUM(C27:C29)</f>
        <v>384</v>
      </c>
      <c r="D30" s="787">
        <f>SUM(D27:D29)</f>
        <v>50</v>
      </c>
      <c r="E30" s="788">
        <f>SUM(E27:E29)</f>
        <v>26713</v>
      </c>
      <c r="F30" s="789" t="s">
        <v>36</v>
      </c>
      <c r="G30" s="790">
        <f>SUM(G27:G29)</f>
        <v>38204678.233471401</v>
      </c>
      <c r="H30" s="791">
        <f>SUM(H27:H29)</f>
        <v>11903071.052601401</v>
      </c>
      <c r="I30" s="792">
        <f>SUM(I27:I29)</f>
        <v>10950811.82454</v>
      </c>
      <c r="J30" s="790">
        <f>SUM(J27:J29)</f>
        <v>2349959.6189999999</v>
      </c>
    </row>
    <row r="32" spans="1:10">
      <c r="I32" s="794"/>
    </row>
    <row r="34" spans="1:11" ht="18" customHeight="1">
      <c r="A34" s="1013" t="s">
        <v>58</v>
      </c>
      <c r="B34" s="1015" t="s">
        <v>143</v>
      </c>
      <c r="C34" s="1009" t="s">
        <v>18</v>
      </c>
      <c r="D34" s="1009" t="s">
        <v>19</v>
      </c>
      <c r="E34" s="1009" t="s">
        <v>144</v>
      </c>
      <c r="F34" s="1009" t="s">
        <v>145</v>
      </c>
      <c r="G34" s="1011" t="s">
        <v>146</v>
      </c>
      <c r="H34" s="1018" t="s">
        <v>147</v>
      </c>
      <c r="I34" s="1019"/>
      <c r="J34" s="1020"/>
    </row>
    <row r="35" spans="1:11" ht="25.5" customHeight="1">
      <c r="A35" s="1014"/>
      <c r="B35" s="1016"/>
      <c r="C35" s="1010"/>
      <c r="D35" s="1010"/>
      <c r="E35" s="1010"/>
      <c r="F35" s="1010"/>
      <c r="G35" s="1012"/>
      <c r="H35" s="763" t="s">
        <v>50</v>
      </c>
      <c r="I35" s="764" t="s">
        <v>48</v>
      </c>
      <c r="J35" s="765" t="s">
        <v>49</v>
      </c>
    </row>
    <row r="36" spans="1:11" ht="15" customHeight="1">
      <c r="A36" s="1021" t="s">
        <v>157</v>
      </c>
      <c r="B36" s="767" t="s">
        <v>158</v>
      </c>
      <c r="C36" s="768">
        <v>174</v>
      </c>
      <c r="D36" s="768">
        <v>144</v>
      </c>
      <c r="E36" s="769">
        <v>13979</v>
      </c>
      <c r="F36" s="797">
        <v>198.1</v>
      </c>
      <c r="G36" s="771">
        <f>F36*E36*B45</f>
        <v>19992632.689166199</v>
      </c>
      <c r="H36" s="772">
        <f>VARAŽDIN!AB21</f>
        <v>8306878.7904591998</v>
      </c>
      <c r="I36" s="773">
        <f>VARAŽDIN!AO21</f>
        <v>8306878.7904591998</v>
      </c>
      <c r="J36" s="771">
        <v>0</v>
      </c>
    </row>
    <row r="37" spans="1:11" ht="15" customHeight="1">
      <c r="A37" s="1022"/>
      <c r="B37" s="774" t="s">
        <v>159</v>
      </c>
      <c r="C37" s="804">
        <f>VARAŽDIN!C22</f>
        <v>330</v>
      </c>
      <c r="D37" s="804">
        <f>VARAŽDIN!D22</f>
        <v>118</v>
      </c>
      <c r="E37" s="776">
        <v>23768</v>
      </c>
      <c r="F37" s="795">
        <v>198.1</v>
      </c>
      <c r="G37" s="777">
        <f>F37*E37*B45</f>
        <v>33992767.276350401</v>
      </c>
      <c r="H37" s="778">
        <f>35*E37*B45</f>
        <v>6005789.2714400003</v>
      </c>
      <c r="I37" s="779">
        <v>0</v>
      </c>
      <c r="J37" s="777">
        <v>0</v>
      </c>
    </row>
    <row r="38" spans="1:11" ht="15" customHeight="1">
      <c r="A38" s="1024"/>
      <c r="B38" s="774" t="s">
        <v>161</v>
      </c>
      <c r="C38" s="804">
        <f>VARAŽDIN!C23</f>
        <v>143</v>
      </c>
      <c r="D38" s="804">
        <f>VARAŽDIN!D23</f>
        <v>51</v>
      </c>
      <c r="E38" s="776">
        <f>VARAŽDIN!E23</f>
        <v>10308</v>
      </c>
      <c r="F38" s="795">
        <v>198.1</v>
      </c>
      <c r="G38" s="777">
        <f>F38*E38*B45</f>
        <v>14742403.445162401</v>
      </c>
      <c r="H38" s="778">
        <v>0</v>
      </c>
      <c r="I38" s="779">
        <v>0</v>
      </c>
      <c r="J38" s="777">
        <f>35*E38*B45</f>
        <v>2604664.91964</v>
      </c>
    </row>
    <row r="39" spans="1:11" ht="15" customHeight="1">
      <c r="A39" s="1024"/>
      <c r="B39" s="798" t="s">
        <v>162</v>
      </c>
      <c r="C39" s="805">
        <f>VARAŽDIN!C24</f>
        <v>209</v>
      </c>
      <c r="D39" s="805">
        <f>VARAŽDIN!D24</f>
        <v>94</v>
      </c>
      <c r="E39" s="799">
        <f>VARAŽDIN!E24</f>
        <v>15352</v>
      </c>
      <c r="F39" s="800">
        <v>198.1</v>
      </c>
      <c r="G39" s="801">
        <f>F39*E39*B45</f>
        <v>21956284.215185598</v>
      </c>
      <c r="H39" s="802">
        <f>35*E39*B45</f>
        <v>3879202.1581600001</v>
      </c>
      <c r="I39" s="803">
        <v>0</v>
      </c>
      <c r="J39" s="801">
        <f>3457091.57-23683.49</f>
        <v>3433408.0799999996</v>
      </c>
    </row>
    <row r="40" spans="1:11" ht="21" customHeight="1">
      <c r="A40" s="1023"/>
      <c r="B40" s="786" t="s">
        <v>15</v>
      </c>
      <c r="C40" s="787">
        <f>SUM(C36:C39)</f>
        <v>856</v>
      </c>
      <c r="D40" s="787">
        <f>SUM(D36:D39)</f>
        <v>407</v>
      </c>
      <c r="E40" s="788">
        <f>SUM(E36:E39)</f>
        <v>63407</v>
      </c>
      <c r="F40" s="789" t="s">
        <v>36</v>
      </c>
      <c r="G40" s="790">
        <f>SUM(G36:G39)</f>
        <v>90684087.625864595</v>
      </c>
      <c r="H40" s="791">
        <f>SUM(H36:H39)</f>
        <v>18191870.220059201</v>
      </c>
      <c r="I40" s="792">
        <f>SUM(I36:I39)</f>
        <v>8306878.7904591998</v>
      </c>
      <c r="J40" s="790">
        <f>SUM(J36:J39)</f>
        <v>6038072.9996399991</v>
      </c>
    </row>
    <row r="41" spans="1:11">
      <c r="A41" s="293"/>
      <c r="B41" s="293"/>
    </row>
    <row r="42" spans="1:11">
      <c r="A42" s="809"/>
      <c r="B42" s="809"/>
      <c r="C42" s="809"/>
      <c r="D42" s="809"/>
      <c r="E42" s="809"/>
      <c r="F42" s="809"/>
      <c r="G42" s="809"/>
      <c r="H42" s="809"/>
      <c r="I42" s="1025" t="s">
        <v>163</v>
      </c>
      <c r="J42" s="1025"/>
      <c r="K42" s="809"/>
    </row>
    <row r="43" spans="1:11">
      <c r="A43" s="809"/>
      <c r="B43" s="809"/>
      <c r="C43" s="809"/>
      <c r="D43" s="809"/>
      <c r="E43" s="809"/>
      <c r="F43" s="809"/>
      <c r="G43" s="809"/>
      <c r="H43" s="810"/>
      <c r="I43" s="1025"/>
      <c r="J43" s="1025"/>
      <c r="K43" s="809"/>
    </row>
    <row r="44" spans="1:11">
      <c r="A44" s="809"/>
      <c r="B44" s="809"/>
      <c r="C44" s="809"/>
      <c r="D44" s="809"/>
      <c r="E44" s="809"/>
      <c r="F44" s="809"/>
      <c r="G44" s="809"/>
      <c r="H44" s="809"/>
      <c r="I44" s="809"/>
      <c r="J44" s="809"/>
      <c r="K44" s="809"/>
    </row>
    <row r="45" spans="1:11">
      <c r="A45" s="809" t="s">
        <v>160</v>
      </c>
      <c r="B45" s="811">
        <v>7.219538</v>
      </c>
      <c r="C45" s="809"/>
      <c r="D45" s="809"/>
      <c r="E45" s="809"/>
      <c r="F45" s="809"/>
      <c r="G45" s="809"/>
      <c r="H45" s="810">
        <f>H39+J39</f>
        <v>7312610.2381599993</v>
      </c>
      <c r="I45" s="809"/>
      <c r="J45" s="809"/>
      <c r="K45" s="809"/>
    </row>
    <row r="46" spans="1:11">
      <c r="A46" s="809"/>
      <c r="B46" s="809"/>
      <c r="C46" s="809"/>
      <c r="D46" s="809"/>
      <c r="E46" s="809"/>
      <c r="F46" s="809"/>
      <c r="G46" s="809"/>
      <c r="H46" s="809"/>
      <c r="I46" s="809"/>
      <c r="J46" s="809"/>
      <c r="K46" s="809"/>
    </row>
    <row r="47" spans="1:11">
      <c r="A47" s="809"/>
      <c r="B47" s="809"/>
      <c r="C47" s="809"/>
      <c r="D47" s="809"/>
      <c r="E47" s="809"/>
      <c r="F47" s="809"/>
      <c r="G47" s="809"/>
      <c r="H47" s="809">
        <f>H45/G39</f>
        <v>0.33305317814670971</v>
      </c>
      <c r="I47" s="809"/>
      <c r="J47" s="809"/>
      <c r="K47" s="809"/>
    </row>
    <row r="48" spans="1:11">
      <c r="H48" s="817"/>
    </row>
    <row r="49" spans="8:8">
      <c r="H49" s="817"/>
    </row>
  </sheetData>
  <mergeCells count="39">
    <mergeCell ref="A36:A40"/>
    <mergeCell ref="A27:A30"/>
    <mergeCell ref="A34:A35"/>
    <mergeCell ref="B34:B35"/>
    <mergeCell ref="I42:J43"/>
    <mergeCell ref="F34:F35"/>
    <mergeCell ref="G34:G35"/>
    <mergeCell ref="H34:J34"/>
    <mergeCell ref="E34:E35"/>
    <mergeCell ref="H15:J15"/>
    <mergeCell ref="D25:D26"/>
    <mergeCell ref="E25:E26"/>
    <mergeCell ref="F25:F26"/>
    <mergeCell ref="G25:G26"/>
    <mergeCell ref="H25:J25"/>
    <mergeCell ref="A17:A21"/>
    <mergeCell ref="A25:A26"/>
    <mergeCell ref="B25:B26"/>
    <mergeCell ref="C25:C26"/>
    <mergeCell ref="C34:C35"/>
    <mergeCell ref="D34:D35"/>
    <mergeCell ref="G6:G7"/>
    <mergeCell ref="H6:J6"/>
    <mergeCell ref="A8:A11"/>
    <mergeCell ref="A15:A16"/>
    <mergeCell ref="B15:B16"/>
    <mergeCell ref="C15:C16"/>
    <mergeCell ref="D15:D16"/>
    <mergeCell ref="E15:E16"/>
    <mergeCell ref="L2:M4"/>
    <mergeCell ref="F15:F16"/>
    <mergeCell ref="G15:G16"/>
    <mergeCell ref="A6:A7"/>
    <mergeCell ref="B6:B7"/>
    <mergeCell ref="C6:C7"/>
    <mergeCell ref="D6:D7"/>
    <mergeCell ref="E6:E7"/>
    <mergeCell ref="F6:F7"/>
    <mergeCell ref="A1:J3"/>
  </mergeCells>
  <phoneticPr fontId="21" type="noConversion"/>
  <pageMargins left="0.70866141732283472" right="0.70866141732283472" top="0.28999999999999998" bottom="0.17" header="0.25" footer="0.17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27:H32"/>
  <sheetViews>
    <sheetView workbookViewId="0">
      <selection activeCell="H31" sqref="H31"/>
    </sheetView>
  </sheetViews>
  <sheetFormatPr defaultRowHeight="11.25"/>
  <cols>
    <col min="8" max="8" width="11.6640625" bestFit="1" customWidth="1"/>
  </cols>
  <sheetData>
    <row r="27" spans="4:8">
      <c r="D27">
        <v>163.1</v>
      </c>
      <c r="F27">
        <f>D27*D28</f>
        <v>707389.16499999992</v>
      </c>
    </row>
    <row r="28" spans="4:8">
      <c r="D28">
        <v>4337.1499999999996</v>
      </c>
      <c r="H28">
        <v>7.3</v>
      </c>
    </row>
    <row r="29" spans="4:8">
      <c r="H29">
        <f>F27*H28</f>
        <v>5163940.9044999992</v>
      </c>
    </row>
    <row r="30" spans="4:8">
      <c r="H30">
        <f>F31*H28</f>
        <v>820155</v>
      </c>
    </row>
    <row r="31" spans="4:8">
      <c r="D31">
        <v>35</v>
      </c>
      <c r="F31">
        <f>D31*D32</f>
        <v>112350</v>
      </c>
      <c r="H31" s="414">
        <f>SUM(H29:H30)</f>
        <v>5984095.9044999992</v>
      </c>
    </row>
    <row r="32" spans="4:8">
      <c r="D32">
        <v>3210</v>
      </c>
    </row>
  </sheetData>
  <phoneticPr fontId="2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APN</vt:lpstr>
      <vt:lpstr>APOS RIJEKA</vt:lpstr>
      <vt:lpstr>VARAŽDIN</vt:lpstr>
      <vt:lpstr>DUBROVNIK</vt:lpstr>
      <vt:lpstr>KOPRIVNICA</vt:lpstr>
      <vt:lpstr>POS</vt:lpstr>
      <vt:lpstr>POS 100%</vt:lpstr>
      <vt:lpstr>AGENCIJE</vt:lpstr>
      <vt:lpstr>Sheet2</vt:lpstr>
      <vt:lpstr>AGENCIJE!Print_Area</vt:lpstr>
      <vt:lpstr>APN!Print_Area</vt:lpstr>
      <vt:lpstr>'APOS RIJEKA'!Print_Area</vt:lpstr>
      <vt:lpstr>DUBROVNIK!Print_Area</vt:lpstr>
      <vt:lpstr>KOPRIVNICA!Print_Area</vt:lpstr>
      <vt:lpstr>POS!Print_Area</vt:lpstr>
      <vt:lpstr>'POS 100%'!Print_Area</vt:lpstr>
      <vt:lpstr>VARAŽDIN!Print_Area</vt:lpstr>
    </vt:vector>
  </TitlesOfParts>
  <Company>APN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Vrbetić</dc:creator>
  <cp:lastModifiedBy>Cvitkovic_Zeljko</cp:lastModifiedBy>
  <cp:lastPrinted>2010-12-29T11:29:22Z</cp:lastPrinted>
  <dcterms:created xsi:type="dcterms:W3CDTF">2009-09-28T07:14:08Z</dcterms:created>
  <dcterms:modified xsi:type="dcterms:W3CDTF">2018-03-27T07:57:16Z</dcterms:modified>
</cp:coreProperties>
</file>